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firstSheet="1" activeTab="2"/>
  </bookViews>
  <sheets>
    <sheet name="ORÇAMENTO SEM BDI" sheetId="1" state="hidden" r:id="rId1"/>
    <sheet name="ORÇAMENTO COM BDI " sheetId="2" r:id="rId2"/>
    <sheet name="BDI" sheetId="3" r:id="rId3"/>
  </sheets>
  <definedNames>
    <definedName name="_xlnm.Print_Area" localSheetId="1">'ORÇAMENTO COM BDI '!$A$1:$G$69</definedName>
    <definedName name="_xlnm.Print_Area" localSheetId="0">'ORÇAMENTO SEM BDI'!$A$1:$I$379</definedName>
  </definedNames>
  <calcPr fullCalcOnLoad="1"/>
</workbook>
</file>

<file path=xl/sharedStrings.xml><?xml version="1.0" encoding="utf-8"?>
<sst xmlns="http://schemas.openxmlformats.org/spreadsheetml/2006/main" count="1490" uniqueCount="767">
  <si>
    <t>ITEM</t>
  </si>
  <si>
    <t xml:space="preserve">DISCRIMINAÇÃO </t>
  </si>
  <si>
    <t>UNID.</t>
  </si>
  <si>
    <t>VALOR R$</t>
  </si>
  <si>
    <t>SECRETARIA MUNICICIPAL DE OBRAS PÚBLICAS</t>
  </si>
  <si>
    <t>I</t>
  </si>
  <si>
    <t>DEMOLIÇÕES</t>
  </si>
  <si>
    <t>1.1</t>
  </si>
  <si>
    <t>M²</t>
  </si>
  <si>
    <t>1.2</t>
  </si>
  <si>
    <t>1.3</t>
  </si>
  <si>
    <t>DEMOLIÇÃO DE PISO CERÂMICO E CONTRAPISO</t>
  </si>
  <si>
    <t>1.4</t>
  </si>
  <si>
    <t>DEMOLIÇÃO DE ALVENARIA SEM REAPROVEITAMENTO</t>
  </si>
  <si>
    <t>M³</t>
  </si>
  <si>
    <t>1.5</t>
  </si>
  <si>
    <t>1.2.2</t>
  </si>
  <si>
    <t>1.2.5</t>
  </si>
  <si>
    <t>DEMOLIÇÃO DE REVESTIMENTO DE AZULEJOS E EMBOÇO</t>
  </si>
  <si>
    <t>RETIRADA DE VASO SANITÁRIO E RESPECTIVAS TUBULAÇÕES DE ÁGUA FRIA</t>
  </si>
  <si>
    <t>RETIRADA DE TELHAS DE BARRO COM REAPROVEITAMENTO</t>
  </si>
  <si>
    <t>SUB TOTAL ITEM I</t>
  </si>
  <si>
    <t>TOTAL GERAL ITEM I</t>
  </si>
  <si>
    <t>2.0</t>
  </si>
  <si>
    <t>II</t>
  </si>
  <si>
    <t>1.0</t>
  </si>
  <si>
    <t>SERVIÇOS INICIAIS</t>
  </si>
  <si>
    <t>RASPAGEM E LIMPEZA DO TERRENO</t>
  </si>
  <si>
    <t>PLACA INDICATIVA DA OBRA MEDINDO 3,00X1,50M, EM CHAPA METÁLICA COM ESTRUTURA DE MADEIRA DE FIXAÇÃO</t>
  </si>
  <si>
    <t>LOCAÇÃO DA OBRA COM EXECUÇÃO DE GABARITO</t>
  </si>
  <si>
    <t>SUB TOTAL ITEM 1.0</t>
  </si>
  <si>
    <t>TOTAL ITEM 1.0</t>
  </si>
  <si>
    <t>INFRAESTRUTURA</t>
  </si>
  <si>
    <t>2.1</t>
  </si>
  <si>
    <t>ESCAVAÇÃO MANUAL DE VALAS, PROFUNDIDADE DE ATÉ 2,0M</t>
  </si>
  <si>
    <t>2.2</t>
  </si>
  <si>
    <t>APILOAMENTO DE FUNDO DE VALAS COM MAÇO DE 30,0KG</t>
  </si>
  <si>
    <t>2.3</t>
  </si>
  <si>
    <t>BROCA A TRADO DE CONCRETO ARMADO Ø-25,0CM</t>
  </si>
  <si>
    <t>M</t>
  </si>
  <si>
    <t xml:space="preserve">CONCRETO ARMADO FCK=20,0 MPA P/ BALDRAMES E BLOCOS DE CONCRETO,  INCL. FORMA E LANÇAMENTO </t>
  </si>
  <si>
    <t>SUB TOTAL ITEM 2.0</t>
  </si>
  <si>
    <t>TOTAL ITEM 2.0</t>
  </si>
  <si>
    <t>3.0</t>
  </si>
  <si>
    <t>MOVIMENTO DE TERRA</t>
  </si>
  <si>
    <t>3.1</t>
  </si>
  <si>
    <t>SUB TOTAL ITEM 3.0</t>
  </si>
  <si>
    <t>TOTAL ITEM 3.0</t>
  </si>
  <si>
    <t>4.0</t>
  </si>
  <si>
    <t>IMPERMEABILIZAÇÃO</t>
  </si>
  <si>
    <t>4.1</t>
  </si>
  <si>
    <t>IMPERMEABILIZAÇÃO DE BALDRAME COM TRES DEMÃOS CRUZADAS DE SIKATOP-100 OU EQUIVALENTE</t>
  </si>
  <si>
    <t>SUB TOTAL ITEM 4.0</t>
  </si>
  <si>
    <t>TOTAL ITEM 4.0</t>
  </si>
  <si>
    <t>5.0</t>
  </si>
  <si>
    <t>SUPERESTRUTURA</t>
  </si>
  <si>
    <t>5.1</t>
  </si>
  <si>
    <t>CONCRETO ARMADO FCK 20,0 MPA PARA PILARES, INCL. FORMA E LANÇAMENTO</t>
  </si>
  <si>
    <t>LAJE DE CONCRETO TRELIÇADA, INCLUSIVE CAPA DE CONCRETO ARMADO E=5,0CM</t>
  </si>
  <si>
    <t>VERGA RETA DE CONCRETO ARMADO FCK=15,0MPA (10X15CM)</t>
  </si>
  <si>
    <t>5.2</t>
  </si>
  <si>
    <t>5.3</t>
  </si>
  <si>
    <t>CONCRETO ARMADO FCK 20,0 MPA PARA VIGAS DE RESPALDO DA COBERTURA, INCL. FORMA E LANÇAMENTO</t>
  </si>
  <si>
    <t>SUB TOTAL ITEM 5.0</t>
  </si>
  <si>
    <t>TOTAL ITEM 5.0</t>
  </si>
  <si>
    <t>6.0</t>
  </si>
  <si>
    <t>VEDAÇÃO</t>
  </si>
  <si>
    <t>6.1</t>
  </si>
  <si>
    <t>6.2</t>
  </si>
  <si>
    <t>ALVENARIA DE BLOCOS CERÂMICOS  10 X 20 X 20 CM, E=10CM, COM ARGAMASSA MISTA DE CAL HIDRATADA</t>
  </si>
  <si>
    <t>SUB TOTAL ITEM 6.0</t>
  </si>
  <si>
    <t>TOTAL ITEM 6.0</t>
  </si>
  <si>
    <t>7.0</t>
  </si>
  <si>
    <t>7.1</t>
  </si>
  <si>
    <t>7.3</t>
  </si>
  <si>
    <t>7.4</t>
  </si>
  <si>
    <t>CALHA ÁGUA FURTADA EM CHAPA 24USG</t>
  </si>
  <si>
    <t>RUFO JUNTO ÀS TABEIRAS EM CHAPA DAS LATERAIS</t>
  </si>
  <si>
    <t>SUB TOTAL ITEM 7.0</t>
  </si>
  <si>
    <t>TOTAL ITEM 7.0</t>
  </si>
  <si>
    <t>8.0</t>
  </si>
  <si>
    <t>REVESTIMENTOS</t>
  </si>
  <si>
    <t>8.1</t>
  </si>
  <si>
    <t>CHAPISCO EM TETOS TRAÇO 1:3 DE CIMENTO E AREIA GROSSA</t>
  </si>
  <si>
    <t>8.2</t>
  </si>
  <si>
    <t>CHAPISCO EM PAREDES INTERNAS TRAÇO 1:3 DE CIMENTO E AREIA GROSSA</t>
  </si>
  <si>
    <t>8.3</t>
  </si>
  <si>
    <t>CHAPISCO EM PAREDES EXTERNAS TRAÇO 1:3 DE CIMENTO E AREIA GROSSA</t>
  </si>
  <si>
    <t>8.4</t>
  </si>
  <si>
    <t>8.5</t>
  </si>
  <si>
    <t>8.6</t>
  </si>
  <si>
    <t>8.7</t>
  </si>
  <si>
    <t>EMBOÇO PARA AZULEJOS TRAÇO 1:2:8</t>
  </si>
  <si>
    <t>REBOCO EM TETOS TRAÇO 1:2:8</t>
  </si>
  <si>
    <t>REBOCO EM PAREDES INTERNAS TRAÇO 1:2:8</t>
  </si>
  <si>
    <t>REBOCO EM PAREDES EXTERNAS TRAÇO 1:2:8</t>
  </si>
  <si>
    <t>AZULEJOS BRANCOS 20X20CM, JUNTA A PRUMO, ASSENTADOS COM ARG. DE CIMENTO COLANTE, INC. REJUNTAMENTO</t>
  </si>
  <si>
    <t>SUB TOTAL ITEM 8.0</t>
  </si>
  <si>
    <t>TOTAL ITEM 8.0</t>
  </si>
  <si>
    <t>9.0</t>
  </si>
  <si>
    <t>ESQUADRIAS METÁLICAS</t>
  </si>
  <si>
    <t>9.1</t>
  </si>
  <si>
    <t>9.2</t>
  </si>
  <si>
    <t>9.4</t>
  </si>
  <si>
    <t>9.5</t>
  </si>
  <si>
    <t>SUB TOTAL ITEM 9.0</t>
  </si>
  <si>
    <t>TOTAL ITEM 9.0</t>
  </si>
  <si>
    <t>10.0</t>
  </si>
  <si>
    <t>ESQUADRIAS DE MADEIRA</t>
  </si>
  <si>
    <t>10.1</t>
  </si>
  <si>
    <t>SUB TOTAL ITEM 10.0</t>
  </si>
  <si>
    <t>TOTAL ITEM 10.0</t>
  </si>
  <si>
    <t>11.0</t>
  </si>
  <si>
    <t>11.1</t>
  </si>
  <si>
    <t>SUB TOTAL ITEM 11.0</t>
  </si>
  <si>
    <t>TOTAL ITEM 11.0</t>
  </si>
  <si>
    <t>12.0</t>
  </si>
  <si>
    <t>PISOS</t>
  </si>
  <si>
    <t>12.1</t>
  </si>
  <si>
    <t>12.2</t>
  </si>
  <si>
    <t>12.3</t>
  </si>
  <si>
    <t>12.4</t>
  </si>
  <si>
    <t>12.5</t>
  </si>
  <si>
    <t xml:space="preserve"> RODAPÉ DE PISO CERÂMICO, H=7,0CM, ASSENTADO COM ARG. DE CIMENTO COLANTE E REJUNTE NA COR CINZA OUTONO</t>
  </si>
  <si>
    <t>SUB TOTAL ITEM 12.0</t>
  </si>
  <si>
    <t>TOTAL ITEM 12.0</t>
  </si>
  <si>
    <t>13.0</t>
  </si>
  <si>
    <t>VIDROS</t>
  </si>
  <si>
    <t>13.1</t>
  </si>
  <si>
    <t>SUB TOTAL ITEM 13.0</t>
  </si>
  <si>
    <t>TOTAL ITEM 13.0</t>
  </si>
  <si>
    <t>14.0</t>
  </si>
  <si>
    <t>14.1</t>
  </si>
  <si>
    <t>14.2</t>
  </si>
  <si>
    <t>SUB TOTAL ITEM 14.0</t>
  </si>
  <si>
    <t>TOTAL ITEM 14.0</t>
  </si>
  <si>
    <t>15.0</t>
  </si>
  <si>
    <t>16.0</t>
  </si>
  <si>
    <t>PINTURA</t>
  </si>
  <si>
    <t>16.1</t>
  </si>
  <si>
    <t>SELADOR ACRÍLICO EM TETOS</t>
  </si>
  <si>
    <t>16.2</t>
  </si>
  <si>
    <t>16.3</t>
  </si>
  <si>
    <t>SELADOR ACRÍLICO EM PAREDES EXTERNAS</t>
  </si>
  <si>
    <t>LATÉX DUAS DEMÃOS EM TETOS</t>
  </si>
  <si>
    <t>LATÉX DUAS DEMÃOS EM PAREDES INTERNAS</t>
  </si>
  <si>
    <t>ESMALTE SINTÉTICO EM ESQUADRIAS METÁLICAS</t>
  </si>
  <si>
    <t>SUB TOTAL ITEM 16.0</t>
  </si>
  <si>
    <t>TOTAL ITEM 16.0</t>
  </si>
  <si>
    <t>III</t>
  </si>
  <si>
    <t>3.2</t>
  </si>
  <si>
    <t>3.3</t>
  </si>
  <si>
    <t>3.4</t>
  </si>
  <si>
    <t>6.3</t>
  </si>
  <si>
    <t>6.4</t>
  </si>
  <si>
    <t>LASTRO DE CONTRAPISO DE CONCRETO NÃO ESTRUTURAL, SARRAFEADO, E=6,0CM (RAMPA E CORREDOR DE ENTRADA)</t>
  </si>
  <si>
    <t>SERVIÇOS DIVERSOS</t>
  </si>
  <si>
    <t>10.2</t>
  </si>
  <si>
    <t>10.3</t>
  </si>
  <si>
    <t>10.4</t>
  </si>
  <si>
    <t>IV</t>
  </si>
  <si>
    <t>11.3</t>
  </si>
  <si>
    <t>11.2</t>
  </si>
  <si>
    <t>14.3</t>
  </si>
  <si>
    <t>14.4</t>
  </si>
  <si>
    <t>11.4</t>
  </si>
  <si>
    <t>11.5</t>
  </si>
  <si>
    <t>11.6</t>
  </si>
  <si>
    <t>11.7</t>
  </si>
  <si>
    <t>11.8</t>
  </si>
  <si>
    <t>11.9</t>
  </si>
  <si>
    <t>IX</t>
  </si>
  <si>
    <t>1.6</t>
  </si>
  <si>
    <t>CORRIMÃO DE TUBOS DE FERRO Ø-1.1/2", PAREDE DE 2,25MM</t>
  </si>
  <si>
    <t>1.7</t>
  </si>
  <si>
    <t>1.8</t>
  </si>
  <si>
    <t>INSTALAÇÕES ELÉTRICAS GERAIS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</si>
  <si>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</si>
  <si>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</si>
  <si>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</si>
  <si>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</si>
  <si>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</si>
  <si>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</si>
  <si>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</si>
  <si>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</si>
  <si>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</si>
  <si>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</si>
  <si>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</si>
  <si>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</si>
  <si>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</si>
  <si>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</si>
  <si>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</si>
  <si>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</si>
  <si>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</si>
  <si>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</si>
  <si>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</si>
  <si>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</si>
  <si>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</si>
  <si>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</si>
  <si>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</si>
  <si>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</si>
  <si>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BR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</si>
  <si>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</si>
  <si>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</si>
  <si>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</si>
  <si>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</si>
  <si>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</si>
  <si>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</si>
  <si>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</si>
  <si>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</si>
  <si>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</si>
  <si>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</si>
  <si>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</si>
  <si>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</si>
  <si>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</si>
  <si>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RL</t>
  </si>
  <si>
    <t>SUB TOTAL GERAL ITEM XIII - INSTALAÇÕES ELÉTRICAS GERAIS</t>
  </si>
  <si>
    <t>TOTAL GERAL ITEM XIII - INSTALAÇÕES ELÉTRICAS GERAIS</t>
  </si>
  <si>
    <t>INSTALAÇÕES HIDRÁULICAS - ÁGUA FRIA</t>
  </si>
  <si>
    <t>TUBO DE PVC SOLDÁVEL Ø-1" COM CONEXÕES</t>
  </si>
  <si>
    <t>TUBO DE PVC SOLDÁVEL Ø-2" COM CONEXÕES</t>
  </si>
  <si>
    <t>REGISTRO DE GAVETA BRUTO Ø-1"</t>
  </si>
  <si>
    <t>REGISTRO DE GAVETA BRUTO Ø-2"</t>
  </si>
  <si>
    <t>REGISTRO DE GAVETA COM CANOPLA Ø-1"</t>
  </si>
  <si>
    <t>VASO SANITÁRIO ADULTO ACESSÍVEL BRANCO</t>
  </si>
  <si>
    <t>ASSENTO SANITÁRIO PLÁSTICO BRANCO ADULTO</t>
  </si>
  <si>
    <t>TUBO DE DESCARGA PONTA AZUL</t>
  </si>
  <si>
    <t>LIGAÇÃO CROMADA PARA VASO COM CANOPLA</t>
  </si>
  <si>
    <t>LAVATÓRIO DE LOUÇA BRANCA COM COLUNA</t>
  </si>
  <si>
    <t>TANQUE DE MÁRMORE SINTÉTICO COM DUAS CUBAS</t>
  </si>
  <si>
    <t>VÁLVULA DE METAL CROMADO COM UNHO PARA LAVATÓRIO</t>
  </si>
  <si>
    <t>VÁLVULA DE METAL CROMADO COM UNHO PARA TANQUE</t>
  </si>
  <si>
    <t>VÁLVULA PARA PIA AMERICANA COM UNHO</t>
  </si>
  <si>
    <t>SIFÃO PLÁSTICO UNIVERSAL</t>
  </si>
  <si>
    <t>ENGATE FLEXÍVEL 30CM</t>
  </si>
  <si>
    <t>TORNEIRA BICA MÓVEL DE PAREDE Ø-3/4"</t>
  </si>
  <si>
    <t>TORNEIRA PARA TANQUE DE METAL CROMADO COM ROSCA NA PONTA</t>
  </si>
  <si>
    <t>TORNEIRA PARA LAVATÓRIO DE METAL CROMADO</t>
  </si>
  <si>
    <t>TORNEIRA PARA BEBEDOURO ESPECIAL DE METAL CROMADO, REFERÊNCIA 1146 DA KIMETAIS OU EQUIVALENTE</t>
  </si>
  <si>
    <t>TORNEIRA DE LIMPEZA/JARDIM Ø-3/4", DE METAL CROMADO</t>
  </si>
  <si>
    <t>PORTA PAPEL HIGIÊNICO DE LOUÇA BRANCA DE EMBUTIR</t>
  </si>
  <si>
    <t>SABONETEIRA DE LOUÇA BRANCA DE EMBUTIR</t>
  </si>
  <si>
    <t>PORTA TOALHA DE PAPEL EM CHAPA ESMALTADA BRANCA</t>
  </si>
  <si>
    <t>CHUVEIRO TIPO DUCHA PLÁSTICA 220V</t>
  </si>
  <si>
    <t>SUB TOTAL GERAL ITEM XIV - INSTALAÇÕES HIDRÁULICAS - ÁGUA FRIA</t>
  </si>
  <si>
    <t>TOTAL GERAL ITEM XIV - INSTALAÇÕES HIDRÁULICAS - ÁGUA FRIA</t>
  </si>
  <si>
    <t>INSTALAÇÕES HIDRÁULICAS - ESGOTO SANITÁRIO</t>
  </si>
  <si>
    <t>CAIXA DE GORDURA DE PVC</t>
  </si>
  <si>
    <t>TOTAL GERAL ITEM XV - INSTALAÇÕES HIDRAÚLICAS - ESGOTO SANITÁRIO</t>
  </si>
  <si>
    <t>SUB TOTAL GERAL ITEM XV - INSTALAÇÕES HIDRAÚLICAS - ESGOTO SANITÁRIO</t>
  </si>
  <si>
    <t>ÁGUAS PLUVIAIS</t>
  </si>
  <si>
    <t>SUB TOTAL GERAL ITEM XVI - ÁGUAS PLUVIAIS</t>
  </si>
  <si>
    <t xml:space="preserve"> TOTAL GERAL ITEM XVI - ÁGUAS PLUVIAIS</t>
  </si>
  <si>
    <t>PINTURA GERAL EXTERNA</t>
  </si>
  <si>
    <t>ESMALTE SINTETICO EM ESQUADRIAS METÁLICAS DAS CIRCULAÇÕES</t>
  </si>
  <si>
    <t>ESMALTE SINTETICO EM ESQUADRIAS DE MADEIRA DAS CIRCULAÇÕES</t>
  </si>
  <si>
    <t>LATÉX ACRÍLICO EM PAREDES EXTERNAS DUAS DEMÃOS</t>
  </si>
  <si>
    <t>LATÉX ACRÍLICO EM PAREDES E PILARES DA CIRCULAÇÃO DUAS DEMÃOS</t>
  </si>
  <si>
    <t>ESMALTE SINTÉTICO EM PORTÕES METÁLICOS E GRADÍS</t>
  </si>
  <si>
    <t>SUB TOTAL GERAL ITEM XIX - PINTURA GERAL EXTERNA</t>
  </si>
  <si>
    <t>TOTAL GERAL ITEM XIX - PINTURA GERAL EXTERNA</t>
  </si>
  <si>
    <t>CAÇAMBAS</t>
  </si>
  <si>
    <t>CAÇAMBA PARA COLETA DE ENTULHO CAPACIDADE DE 3,00M³</t>
  </si>
  <si>
    <t>SUB TOTAL GERAL ITEM XX - CAÇAMBAS</t>
  </si>
  <si>
    <t>TOTAL GERAL ITEM XX - CAÇAMBAS</t>
  </si>
  <si>
    <t>LIMPEZA GERAL</t>
  </si>
  <si>
    <t>SUB TOTAL GERAL ITEM XXI - LIMPEZA GERAL</t>
  </si>
  <si>
    <t>TOTAL GERAL ITEM XXI - LIMPEZA GERAL</t>
  </si>
  <si>
    <t>SUB TOTAL GERAL</t>
  </si>
  <si>
    <t>DEMOLIÇÃO DE ESTRUTURA DE MADEIRA DE COBERTURA COM REAPROVEITAMENTO</t>
  </si>
  <si>
    <t>LATÉX ACRÍLICO DUAS DEMÃOS EM PAREDES EXTERNAS</t>
  </si>
  <si>
    <t>MASSA CORRIDA EM PAREDES INTERNAS DUAS DEMÃOS</t>
  </si>
  <si>
    <t>CORPO CAIXA SIFONADA 150X150X50MM COM GRELHA E PORTA GRELHA DE METAL CROMADO OU ALUMÍNIO</t>
  </si>
  <si>
    <t>VÁLVULA DE DESCARGA COM REGISTRO E CANOPLA Ø-1.1/2"</t>
  </si>
  <si>
    <t>TUBO DE PVC ESGOTO Ø-100MM, INCLUSIVE ABERTURA DE VALAS, ASSENTAMENTO E REATERRO APILOADO</t>
  </si>
  <si>
    <t>CAIXA DE INSPEÇÃO ESGOTO 80X80CM, PROFUNDIDADE VARIÁVEL, COM TAMPA DE CONCRETO</t>
  </si>
  <si>
    <t>FORNECIMENTO DE TERRA DE 1ª CATEGORIA, COMPREENDENDO A ESCAVAÇÃO EM JAZIDA, CARGA, TRANSPORTE, DESCARGA, ESPALHAMENTO E COMPACTAÇÃO EM CAMADAS DE 20 EM 20CM</t>
  </si>
  <si>
    <t>LIMPEZA GERAL DA OBRA COM REMOÇÃO DE TODO O ENTULHO, LAVAGEM DE AZULEJOS, PISOS E VIDROS, DEVENDO A OBRA SER ENTREGUE EM CONDIÇÕES DE IMEDIATA UTILIZAÇÃO</t>
  </si>
  <si>
    <t>FONTE DE PREÇOS</t>
  </si>
  <si>
    <t>IMPERMEABILIZAÇÃO DE BALDRAME COM TRÊS DEMÃOS CRUZADAS DE SIKATOP-100 OU EQUIVALENTE</t>
  </si>
  <si>
    <t>VASO SANITÁRIO ADULTO BRANCO</t>
  </si>
  <si>
    <t>CONCRETO ARMADO FCK 20,0 MPA PARA VIGAS DE RESPALDO, INCL. FORMA E LANÇAMENTO</t>
  </si>
  <si>
    <t>DIVISÓRIA SANITÁRIA DE GRANITO CINZA ANDORINHA COM TODAS AS FACES POLIDAS, E FACE FRONTAL DUPLA, H=1,90M, E=2CM</t>
  </si>
  <si>
    <t>LOCALIZAÇÃO:- AVENIDA JOSÉ MARCELINO, SN, CEP: 75.700-000</t>
  </si>
  <si>
    <t>RETIRADA DE LAVATÓRIO E RESPECTIVAS TUBULAÇÕES DE ÁGUA FRIA</t>
  </si>
  <si>
    <t>RETIRADA DE INSTALAÇÕES ELÉTRICAS EXISTENTES</t>
  </si>
  <si>
    <t>PLANILHA  ORÇAMENTÁRIA</t>
  </si>
  <si>
    <t>TELHA TIPO SANDUICHE EPS</t>
  </si>
  <si>
    <t>FECHAMENTO LATERAL EM CHAPA METÁLICA</t>
  </si>
  <si>
    <t>COBERTURA CORREDORES</t>
  </si>
  <si>
    <t>ESTRUTURA METÁLICA DE COBERTURA PARA POLICARBONATO, COM PINTURA EM ESMALTE SINTÉTICO BRILHANTE  E COBERTURA COM POLICARBONATO ALVEOLAR ESPESSURA DE 6,0MM</t>
  </si>
  <si>
    <t>DIVISÓRIAS E BANCADAS</t>
  </si>
  <si>
    <t>ALVENARIA EM TIJOLO DE VIDRO</t>
  </si>
  <si>
    <t>ALVENARIA EM ELEMNTOS VAZADOS</t>
  </si>
  <si>
    <t>REMOÇÃO DE CAIXA DÁGUA EXISTENTE</t>
  </si>
  <si>
    <t>QUANT.</t>
  </si>
  <si>
    <t>MAT</t>
  </si>
  <si>
    <t>MO</t>
  </si>
  <si>
    <t>PREÇO UNIT</t>
  </si>
  <si>
    <t>VORTEX ENGENHARIA DE PROJETOS</t>
  </si>
  <si>
    <t>1.1.1</t>
  </si>
  <si>
    <t>1.2.3</t>
  </si>
  <si>
    <t>1.2.4</t>
  </si>
  <si>
    <t>1.2.6</t>
  </si>
  <si>
    <t>1.2.7</t>
  </si>
  <si>
    <t>12.7</t>
  </si>
  <si>
    <t>12.8</t>
  </si>
  <si>
    <t>15.1</t>
  </si>
  <si>
    <t xml:space="preserve"> PISO CERÂMICO BRANCO, MEDINDO 40X40CM, PEI-5, COM BASE DE BARRO BRANCO INCLUSIVE REJUNTE NA COR CINZA OUTONO</t>
  </si>
  <si>
    <t>BANCADAS PARA PIAS EM GRANITO CINZA ANDORINHA, E=2CM</t>
  </si>
  <si>
    <t>SOLEIRAS E PEITORIS EM GRANITO CINZA ANDORINHA, E=2CM</t>
  </si>
  <si>
    <t xml:space="preserve"> REGULARIZAÇÃO SARRAFEADA DE BASE PARA REVESTIMENTO DE PISO COM ARGAMASSA DE CIMENTO E AREIA   PENEIRADA NO TRAÇO 1:3, E=3,0CM </t>
  </si>
  <si>
    <t>VIDRO TEMPERADO E=6MM, COM FERRAGENS E PORTAS</t>
  </si>
  <si>
    <t xml:space="preserve">ESTRUTURA METÁLICA DE COBERTURA PARA TELHAS TIPO SANDUICHE </t>
  </si>
  <si>
    <r>
      <t xml:space="preserve">LUMINÁRIA  C/REFLETOR DE ALTA REFLETÂNCIA DE </t>
    </r>
    <r>
      <rPr>
        <u val="single"/>
        <sz val="8"/>
        <rFont val="Calibri"/>
        <family val="2"/>
      </rPr>
      <t>SOBREPOR</t>
    </r>
    <r>
      <rPr>
        <sz val="8"/>
        <rFont val="Calibri"/>
        <family val="2"/>
      </rPr>
      <t xml:space="preserve">  PARA LAMP.FLUORESCENTE 2X40W – 220V COMPLETA</t>
    </r>
  </si>
  <si>
    <t>PÇ</t>
  </si>
  <si>
    <r>
      <t xml:space="preserve">LUMINÁRIA DE </t>
    </r>
    <r>
      <rPr>
        <u val="single"/>
        <sz val="8"/>
        <rFont val="Calibri"/>
        <family val="2"/>
      </rPr>
      <t xml:space="preserve"> SOBREPOR</t>
    </r>
    <r>
      <rPr>
        <sz val="8"/>
        <rFont val="Calibri"/>
        <family val="2"/>
      </rPr>
      <t xml:space="preserve"> C/REFLETOR DE ALTA REFLETÂNCIA P/LAMP.FLUORESC.2X20W-220V COMPLETA </t>
    </r>
  </si>
  <si>
    <t>INTERRUPTOR SIMPLES – 1 SEÇÃO COM PLACA 2X4</t>
  </si>
  <si>
    <t>INTERRUPTOR SIMPLES – 2 SEÇÕES COM PLACA 2X4</t>
  </si>
  <si>
    <t>INTERRUP. 2PARALELOS SIMPLES – COM PLACA 2X4</t>
  </si>
  <si>
    <t>INTERRUP. 1PARALELOS SIMPLES + 1 SEÇÃO SIMPLES COM PLACA 2X4</t>
  </si>
  <si>
    <t>TOMADA 2P+T PADRÃO 15A –COM PLACA 2X4</t>
  </si>
  <si>
    <t>TOMADA 2P+T PADRÃO 25 A – COM PLACA 2X4</t>
  </si>
  <si>
    <t>CAIXA DE PVC  2X4 DE EMBUTIR EM PAREDE</t>
  </si>
  <si>
    <t>CAIXA DE PVC 4X4 DE EMBUTIR COM TAMPA CEGA</t>
  </si>
  <si>
    <t>TOMADA PARA TELEFONE COM PLACA 2X4</t>
  </si>
  <si>
    <t>CAIXA PARA BARRAMENTO 50X50 X25 COM PORTA ARTICULADA E TRAVA TIPO FECHADURA</t>
  </si>
  <si>
    <t>TERMINAL PARA CABO 2,5MM</t>
  </si>
  <si>
    <t>TERMINAL PARA CABO 4,0MM</t>
  </si>
  <si>
    <t>TERMINAL PARA CABO 10MM</t>
  </si>
  <si>
    <t>TERMINAL PARA CABO 16MM</t>
  </si>
  <si>
    <t>DISJUNTOR TRIFÁSICO 60 AMPERES</t>
  </si>
  <si>
    <t>DISJUNTOR BIFÁSICO 50 AMPERES</t>
  </si>
  <si>
    <t>DISJUNTOR MONOFÁSICO 40 AMPERE</t>
  </si>
  <si>
    <t>QUADRO COM BARRAM. PARA 10 DISJUNTORES MONOF.</t>
  </si>
  <si>
    <t>DISJUNTOR MONOFÁSICO DE 10 AMPERE</t>
  </si>
  <si>
    <t>DISJUNTOR MONOFÁSICO DE 15 AMPERE</t>
  </si>
  <si>
    <t>DISJUNTOR MONOFÁSICO  DE 20 AMPERES</t>
  </si>
  <si>
    <t>DISJUNTOR MONOFÁSICO DE 30 AMPERE</t>
  </si>
  <si>
    <t>HASTE CANTONEIRA ZINCADA PARA ATERRAMENTO</t>
  </si>
  <si>
    <t>LUMINÁRIA P/ LAMP. 60W  P/TETO A PROVA DE EXPLOSÃO, PARA ILUMINAÇÃO DE CENTRAL DE GÁS</t>
  </si>
  <si>
    <t>CAIXA OCTOGONAL ALTA PARA TETO</t>
  </si>
  <si>
    <t>ELETRODUTO PVC.RIG. SOLDÁVEL 25MM X 3MTS</t>
  </si>
  <si>
    <t>ELETRODUTO PVC.RIG. SOLDÁVEL 20MM X 3MTS</t>
  </si>
  <si>
    <t>CONDULET DIVERSOS EM PVC PARA ELETRODUTO 25MM</t>
  </si>
  <si>
    <t>ADAPTADOR PARA CONDULET ROSCA/SOLDÁVEL – 25MM</t>
  </si>
  <si>
    <t xml:space="preserve">CURVA 90º LONGA PVC.SOLDAVEL -25MM </t>
  </si>
  <si>
    <t>CURVA 90º LONGA PVC.SOLDÁVEL – 20MM</t>
  </si>
  <si>
    <t>ELETRODUTO PVC.RIG. SOLDÁVEL – 32MM X 3MTS</t>
  </si>
  <si>
    <t>CURVA 90ºLONGA PVC.RIG. SOLDÁVEL – 32MM</t>
  </si>
  <si>
    <t>ELETRODUTO PVC.RIG. SOLDÁVEL – 40MM X 3MM</t>
  </si>
  <si>
    <t>CURVA 90º LONGA PVC.RIG.SOLDÁVEL – 40 MM</t>
  </si>
  <si>
    <t>CABO FLEX 2,5MM2,PRETO,VERMELHO,AZUL,VERDE</t>
  </si>
  <si>
    <t>MTS</t>
  </si>
  <si>
    <t>CABO FLEX 4,0MM2, PRETO,VERMELHO,AZUL,VERDE</t>
  </si>
  <si>
    <t>CABO FLEX 10MM2 , PRETO,VERMELHO,AZUL,VERDE</t>
  </si>
  <si>
    <t>CABO FLEX 16MM2 , PRETO,VERMELHO,AZUL,VERDE</t>
  </si>
  <si>
    <t>CABO DE COBRE NU FLEXÍVEL, BITOLA 16MM2</t>
  </si>
  <si>
    <t>FITA ISOLANTE – 3M -20 MTS</t>
  </si>
  <si>
    <t>FITA AUTO FUSÃO -3M -  20 MTS</t>
  </si>
  <si>
    <t xml:space="preserve">COLA PARA TUBO PVC  </t>
  </si>
  <si>
    <t>LT</t>
  </si>
  <si>
    <t>ABRAÇADEIRA PARA FIXAÇÃO DE TUBOS - DIVERSAS</t>
  </si>
  <si>
    <t>PÇS</t>
  </si>
  <si>
    <t>1.1.7</t>
  </si>
  <si>
    <t>2.4</t>
  </si>
  <si>
    <t>REBOCO EM PAREDES EXTERNAS  TRAÇO 1:2:8</t>
  </si>
  <si>
    <t>H</t>
  </si>
  <si>
    <t>ESCAVAÇÃO MANUAL DE VALAS, PROFUNDIDADE DE ATÉ 1,0M</t>
  </si>
  <si>
    <t>ESTACA DE CONCRETO ARMADO MOLDADA "IN LOCO"" DN 30,0CM</t>
  </si>
  <si>
    <t>ALVENARIA EM ELEMENTOS VAZADOS</t>
  </si>
  <si>
    <t>CALHA EM CHAPA GALVANIZADA N°24USG</t>
  </si>
  <si>
    <t xml:space="preserve"> REGULARIZAÇÃO SARRAFEADA DE BASE PARA REVESTIMENTO DE PISO COM ARGAMASSA DE CIMENTO E AREIA PENEIRADA NO TRAÇO 1:3, E=2,0CM</t>
  </si>
  <si>
    <t>LASTRO DE CONTRAPISO DE CONCRETO NÃO ESTRUTURAL, SARRAFEADO, E=5,0CM</t>
  </si>
  <si>
    <t xml:space="preserve">PORTAS SANITÁRIOS DE ALUMÍNIO NATURAL TIPO 10 </t>
  </si>
  <si>
    <t>TUBO DE ESGOTO Ø-40MM  TIGRE E AMANCO</t>
  </si>
  <si>
    <t>CAIXA SECA TIPO RALO QUADRADO MEDINDO 100X100X40MM COM GRELHA CROMADA METÁLICA</t>
  </si>
  <si>
    <t>JOELHO 45 SERIE NORMAL 100MM.</t>
  </si>
  <si>
    <t>JOELHO 45 SERIE NORMAL 40MM COM BOLSA LISA.</t>
  </si>
  <si>
    <t>TUBO DE ESGOTO Ø-50MM  TIGRE OU AMANCO</t>
  </si>
  <si>
    <t>TUBO DE ESGOTO Ø-100MM  TIGRE OU AMANCO</t>
  </si>
  <si>
    <t>JOELHO 45 SERIE NORMAL 50MM.</t>
  </si>
  <si>
    <t>JOELHO 90 SERIE NORMAL 100MM.</t>
  </si>
  <si>
    <t>JOELHO 90 SERIE NORMAL 40MM COM BOLSA LISA.</t>
  </si>
  <si>
    <t>JOELHO 90 SERIE NORMAL 50MM.</t>
  </si>
  <si>
    <t>JUNÇÃO SIMPLES NORMAL 50 MM.</t>
  </si>
  <si>
    <t>JUNÇÃO SIMPLES NORMAL 100 MM.</t>
  </si>
  <si>
    <t>JUNÇÃO SIMPLES NORMAL 100X50 MM.</t>
  </si>
  <si>
    <t>TE SERIE NORMAL 100 MM</t>
  </si>
  <si>
    <t>TE SÉRIE NORMAL 40 MM COM BOLSAS LISAS</t>
  </si>
  <si>
    <t>TE SÉRIE NORMAL 50 MM</t>
  </si>
  <si>
    <t>JUNÇÃO SIMPLES NORMAL 40 MM COM BOLSA LISA.</t>
  </si>
  <si>
    <t>CURVA 90 25 MM</t>
  </si>
  <si>
    <t>CURVA 90 50 MM</t>
  </si>
  <si>
    <t>BARRA ACESSIBILIDADE SANITARIOS</t>
  </si>
  <si>
    <t>FOSSA SEPTICA 1500 L IMPERMEABILIZADA</t>
  </si>
  <si>
    <t>FLANGE 2"</t>
  </si>
  <si>
    <t>REGISTRO DE PRESSÃO COM CANOPLA Ø-1"</t>
  </si>
  <si>
    <t>H178</t>
  </si>
  <si>
    <t>TANQUE PANELÃO INOX CH 18</t>
  </si>
  <si>
    <t>CAIXA DE AREIACOM GRELHA DE FERRO COM QUADRO DE CANTONEIRAS DE 3/4"X1/8" E FERROS REDONDOS LISOS Ø-6,0MM</t>
  </si>
  <si>
    <t xml:space="preserve"> SINAPI GO 73346</t>
  </si>
  <si>
    <t xml:space="preserve"> SINAPI GO74200/001</t>
  </si>
  <si>
    <t>LAJE DE CONCRETO TRELIÇADA, INCLUSIVE CAPA DE CONCRETO ARMADO E=4,0CM</t>
  </si>
  <si>
    <t>SINAPI GO 74141/004</t>
  </si>
  <si>
    <t>SINAPI GO 55835</t>
  </si>
  <si>
    <t>SINAPI GO 72111</t>
  </si>
  <si>
    <t>SINAPI GO 74244/001</t>
  </si>
  <si>
    <t xml:space="preserve">PRAÇA </t>
  </si>
  <si>
    <t>SINAPI GO 73953/006</t>
  </si>
  <si>
    <t>BDI ADOTADO</t>
  </si>
  <si>
    <t>TOTAL GERAL SEM BDI</t>
  </si>
  <si>
    <t>TOTAL GERAL COM BDI</t>
  </si>
  <si>
    <t>7.2</t>
  </si>
  <si>
    <t>9.3</t>
  </si>
  <si>
    <t>15.2</t>
  </si>
  <si>
    <t>15.3</t>
  </si>
  <si>
    <t>16.4</t>
  </si>
  <si>
    <t>16.5</t>
  </si>
  <si>
    <t>16.6</t>
  </si>
  <si>
    <t>4.2</t>
  </si>
  <si>
    <t>4.3</t>
  </si>
  <si>
    <t>7.5</t>
  </si>
  <si>
    <t>13.2</t>
  </si>
  <si>
    <t>13.3</t>
  </si>
  <si>
    <t>Serviço: 020115 - AGETOP</t>
  </si>
  <si>
    <t>Serviço: 020118 - AGETOP</t>
  </si>
  <si>
    <t>Serviço: 020112 - AGETOP</t>
  </si>
  <si>
    <t>Serviço: 020106 - AGETOP</t>
  </si>
  <si>
    <t>Serviço: 020137 - AGETOP</t>
  </si>
  <si>
    <t>Serviço: 020138 - AGETOP</t>
  </si>
  <si>
    <t>Serviço: 020147 - AGETOP</t>
  </si>
  <si>
    <t>Serviço: 020103 - AGETOP</t>
  </si>
  <si>
    <t>Serviço: 020101 - AGETOP</t>
  </si>
  <si>
    <t>Serviço: 020162 - AGETOP</t>
  </si>
  <si>
    <t>Serviço: 021301 - AGETOP</t>
  </si>
  <si>
    <t>Serviço: 020202 - AGETOP</t>
  </si>
  <si>
    <t>Serviço: 020701 - AGETOP</t>
  </si>
  <si>
    <t>Serviço: 040101 - AGETOP</t>
  </si>
  <si>
    <t>Serviço: 050302 - AGETOP</t>
  </si>
  <si>
    <t>Serviço: 120902 - AGETOP</t>
  </si>
  <si>
    <t>Serviço: 100201 - AGETOP</t>
  </si>
  <si>
    <t>Serviço: 100601 - AGETOP</t>
  </si>
  <si>
    <t>Serviço: 100501 - AGETOP</t>
  </si>
  <si>
    <t>Serviço: 160963 - AGETOP</t>
  </si>
  <si>
    <t>Serviço: 160602 - AGETOP</t>
  </si>
  <si>
    <t>Serviço: 200506 - AGETOP</t>
  </si>
  <si>
    <t>Serviço: 200101 - AGETOP</t>
  </si>
  <si>
    <t>Serviço: 200500 - AGETOP</t>
  </si>
  <si>
    <t>Serviço: 201101 - AGETOP</t>
  </si>
  <si>
    <t>Serviço: 180101 - AGETOP</t>
  </si>
  <si>
    <t>Serviço: 220050 - AGETOP</t>
  </si>
  <si>
    <t>Serviço: 120101 - AGETOP</t>
  </si>
  <si>
    <t>Serviço: 220309 - AGETOP</t>
  </si>
  <si>
    <t>Serviço: 220310 - AGETOP</t>
  </si>
  <si>
    <t>Serviço: 100320 - AGETOP</t>
  </si>
  <si>
    <t>Serviço: 220920 - AGETOP</t>
  </si>
  <si>
    <t>Serviço: 271608 - AGETOP</t>
  </si>
  <si>
    <t>Serviço: 261005 - AGETOP</t>
  </si>
  <si>
    <t>Serviço: 261300 - AGETOP</t>
  </si>
  <si>
    <t>Serviço: 261502 - AGETOP</t>
  </si>
  <si>
    <t>Serviço: 041002 - AGETOP</t>
  </si>
  <si>
    <t>Serviço: 190202 - AGETOP</t>
  </si>
  <si>
    <t>Serviço: 180402 - AGETOP</t>
  </si>
  <si>
    <t>Serviço: 071681 - AGETOP</t>
  </si>
  <si>
    <t>Serviço: 071440 - AGETOP</t>
  </si>
  <si>
    <t>Serviço: 071441 - AGETOP</t>
  </si>
  <si>
    <t>Serviço: 071431 - AGETOP</t>
  </si>
  <si>
    <t>Serviço: 071432 - AGETOP</t>
  </si>
  <si>
    <t>Serviço: 072579 - AGETOP</t>
  </si>
  <si>
    <t>Serviço: 070692 - AGETOP</t>
  </si>
  <si>
    <t>Serviço: 072591 - AGETOP</t>
  </si>
  <si>
    <t>Serviço: 070705 - AGETOP</t>
  </si>
  <si>
    <t>Serviço: 072501 - AGETOP</t>
  </si>
  <si>
    <t>Serviço: 072510 - AGETOP</t>
  </si>
  <si>
    <t>Serviço: 072518 - AGETOP</t>
  </si>
  <si>
    <t>Serviço: 072520 - AGETOP</t>
  </si>
  <si>
    <t>Serviço: 071175 - AGETOP</t>
  </si>
  <si>
    <t>Serviço: 071172 - AGETOP</t>
  </si>
  <si>
    <t>Serviço: 071171 - AGETOP</t>
  </si>
  <si>
    <t>Serviço: 071609 - AGETOP</t>
  </si>
  <si>
    <t>Serviço: 070681 - AGETOP</t>
  </si>
  <si>
    <t>Serviço: 071202 - AGETOP</t>
  </si>
  <si>
    <t>Serviço: 071201 - AGETOP</t>
  </si>
  <si>
    <t>Serviço: 070936  - AGETOP</t>
  </si>
  <si>
    <t>Serviço: 081734 - AGETOP</t>
  </si>
  <si>
    <t>Serviço: 071203 - AGETOP</t>
  </si>
  <si>
    <t>Serviço: 071204 - AGETOP</t>
  </si>
  <si>
    <t>Serviço: 070581 - AGETOP</t>
  </si>
  <si>
    <t>Serviço: 070582  - AGETOP</t>
  </si>
  <si>
    <t>Serviço: 070584 - AGETOP</t>
  </si>
  <si>
    <t>Serviço: 070585 - AGETOP</t>
  </si>
  <si>
    <t>Serviço: 070541 - AGETOP</t>
  </si>
  <si>
    <t>Serviço: 071331 - AGETOP</t>
  </si>
  <si>
    <t>Serviço: 071321 - AGETOP</t>
  </si>
  <si>
    <t>Serviço: 071322 - AGETOP</t>
  </si>
  <si>
    <t>Serviço: 071323 - AGETOP</t>
  </si>
  <si>
    <t>Serviço: 081003 - AGETOP</t>
  </si>
  <si>
    <t>Serviço: 081006 - AGETOP</t>
  </si>
  <si>
    <t>Serviço: 081537 - AGETOP</t>
  </si>
  <si>
    <t>Serviço: 081540 - AGETOP</t>
  </si>
  <si>
    <t>Serviço: 081043 - AGETOP</t>
  </si>
  <si>
    <t>Serviço: 080903 - AGETOP</t>
  </si>
  <si>
    <t>Serviço: 080906 - AGETOP</t>
  </si>
  <si>
    <t>Serviço: 080927 - AGETOP</t>
  </si>
  <si>
    <t>Serviço: 080502 - AGETOP</t>
  </si>
  <si>
    <t>Serviço: 080513 - AGETOP</t>
  </si>
  <si>
    <t>Serviço: 080541 - AGETOP</t>
  </si>
  <si>
    <t>Serviço: 080802 - AGETOP</t>
  </si>
  <si>
    <t>Serviço: 080580  - AGETOP</t>
  </si>
  <si>
    <t>Serviço: 080562 - AGETOP</t>
  </si>
  <si>
    <t>Serviço: 080656 - AGETOP</t>
  </si>
  <si>
    <t>Serviço: 080661 - AGETOP</t>
  </si>
  <si>
    <t>Serviço: 080810 - AGETOP</t>
  </si>
  <si>
    <t>Serviço: 080570 - AGETOP</t>
  </si>
  <si>
    <t>Serviço: 080811 - AGETOP</t>
  </si>
  <si>
    <t>Serviço: 080530 - AGETOP</t>
  </si>
  <si>
    <t>Serviço: 080740   - AGETOP</t>
  </si>
  <si>
    <t>Serviço: 080732 - AGETOP</t>
  </si>
  <si>
    <t>Serviço: 080721 - AGETOP</t>
  </si>
  <si>
    <t>Serviço: 080693 - AGETOP</t>
  </si>
  <si>
    <t>Serviço: 230172 - AGETOP</t>
  </si>
  <si>
    <t>Serviço: 082301 - AGETOP</t>
  </si>
  <si>
    <t>Serviço: 082302 - AGETOP</t>
  </si>
  <si>
    <t>Serviço: 082304 - AGETOP</t>
  </si>
  <si>
    <t>Serviço: 081676  - AGETOP</t>
  </si>
  <si>
    <t>Serviço: 081663 - AGETOP</t>
  </si>
  <si>
    <t>Serviço: 081924 - AGETOP</t>
  </si>
  <si>
    <t>Serviço: 081922 - AGETOP</t>
  </si>
  <si>
    <t>Serviço: 081927  - AGETOP</t>
  </si>
  <si>
    <t>Serviço: 081928 - AGETOP</t>
  </si>
  <si>
    <t>Serviço: 081975 - AGETOP</t>
  </si>
  <si>
    <t>Serviço: 081973 - AGETOP</t>
  </si>
  <si>
    <t>Serviço: 081961 - AGETOP</t>
  </si>
  <si>
    <t>Serviço: 081970 - AGETOP</t>
  </si>
  <si>
    <t>Serviço: 082235  - AGETOP</t>
  </si>
  <si>
    <t>Serviço: 082230 - AGETOP</t>
  </si>
  <si>
    <t>Serviço: 081832 - AGETOP</t>
  </si>
  <si>
    <t>Serviço: 081865 - AGETOP</t>
  </si>
  <si>
    <t>Serviço: 081850 - AGETOP</t>
  </si>
  <si>
    <t>Serviço: 08182 - AGETOP</t>
  </si>
  <si>
    <t>Serviço: 261001 - AGETOP</t>
  </si>
  <si>
    <t>Serviço: 030105 - AGETOP</t>
  </si>
  <si>
    <t>Serviço: 270501 - AGETOP</t>
  </si>
  <si>
    <t>OBRA:- AMPLIAÇÃO E REFORMA CMEI ANIBAL ROSA NASCIMENTO</t>
  </si>
  <si>
    <t>DEMOLIÇÃO DE ESTRUTURA DE AÇO DE COBERTURA COM REAPROVEITAMENTO</t>
  </si>
  <si>
    <t>RETIRADA DE ESQUADRIAS DE MADEIRA COM REAPROVEITAMENTO</t>
  </si>
  <si>
    <t>ESTRUTURA ANTIGA</t>
  </si>
  <si>
    <t>COBERTURA SALAS</t>
  </si>
  <si>
    <t>TELHA TIPO FIBROCIMENTO 6mm.</t>
  </si>
  <si>
    <t>ESTRUTURA METÁLICA DE COBERTURA PARA TELHAS TIPO FIBROCIMENTO</t>
  </si>
  <si>
    <t>COBERTURA PÁTIO</t>
  </si>
  <si>
    <t>FECHAMENTO EM VENEZIANA TIPO BREEZE</t>
  </si>
  <si>
    <t>AZULEJO AZUL 10X10CM, JUNTA A PRUMO, ASSENTADOS COM ARG. DE CIMENTO COLANTE, INC. REJUNTAMENTO(RODAMEIO)</t>
  </si>
  <si>
    <t xml:space="preserve">JA02-JANELA DE ALUMINIO NATURAL MAXIM AR  COM VIDRO E FERRAGENS (60X60cm)  </t>
  </si>
  <si>
    <t xml:space="preserve">JA03-JANELA DE ALUMINIO NATURAL DE CORRER COM VIDRO E FERRAGENS  (120X60cm) </t>
  </si>
  <si>
    <t xml:space="preserve">JA04-JANELA DE ALUMINIO NATURAL  MAXIM AR COM VIDRO E FERRAGENS  (180X60cm) </t>
  </si>
  <si>
    <t xml:space="preserve">JA06-JANELA DE ALUMINIO NATURAL DE CORRER COM VIDRO E FERRAGENS  (120X120cm) </t>
  </si>
  <si>
    <t xml:space="preserve">JA07-JANELA DE ALUMINIO NATURAL  DE CORRER COM VIDRO E FERRAGENS  (180X120cm) </t>
  </si>
  <si>
    <t xml:space="preserve">JA08-JANELA DE ALUMINIO NATURAL DE CORRER COM VIDRO E FERRAGENS  (240X120cm) </t>
  </si>
  <si>
    <t xml:space="preserve">JA10-JANELA DE ALUMINIO NATURAL  DE CORRER COM VIDRO E FERRAGENS  (240X160cm) </t>
  </si>
  <si>
    <t>PM01-PORTA DE MADEIRA COMUM COMPLETA (80X210cm)</t>
  </si>
  <si>
    <t>PM02- PORTA DE MADEIRA COM VISOR DE VIDRO CHAPA E BARRA METÁLICA (80X210cm)</t>
  </si>
  <si>
    <t>AMPLIAÇÃO - E REFORMA DAS SALAS DE AULA, MULTIMEIOS E INFORMÁTICA.</t>
  </si>
  <si>
    <t>SUB TOTAL GERAL - AMPLIAÇÃO - E REFORMA DAS SALAS DE AULA, MULTIMEIOS E INFORMÁTICA</t>
  </si>
  <si>
    <t>TOTAL GERAL - AMPLIAÇÃO - E REFORMA DAS SALAS DE AULA, MULTIMEIOS E INFORMÁTICA.</t>
  </si>
  <si>
    <t>CONSTRUÇÃO DO PRÉDIO ADMINISTRATIVO E REFEITÓRIO E REFORMA NA COZINHA E AREA TECNICA.</t>
  </si>
  <si>
    <t>COBERTURA PRÉDIO ADMINISTRATIVO</t>
  </si>
  <si>
    <t>COBERTURA REFEITÓRIO E COZINHA</t>
  </si>
  <si>
    <t xml:space="preserve"> PORTÃO EM METALON (80X210cm)</t>
  </si>
  <si>
    <t xml:space="preserve"> PORTÃO EM METALON (100X210cm)</t>
  </si>
  <si>
    <t>14.5</t>
  </si>
  <si>
    <t>PISO CIMENTADO DESEMPENADO</t>
  </si>
  <si>
    <t>SUB TOTAL GERAL - CONSTRUÇÃO DO PRÉDIO ADMINISTRATIVO E REFEITÓRIO E REFORMA NA COZINHA E AREA TECNICA</t>
  </si>
  <si>
    <t>TOTAL GERAL - CONSTRUÇÃO DO PRÉDIO ADMINISTRATIVO E REFEITÓRIO E REFORMA NA COZINHA E AREA TECNICA</t>
  </si>
  <si>
    <t>1.1.2</t>
  </si>
  <si>
    <t>1.1.3</t>
  </si>
  <si>
    <t>1.1.4</t>
  </si>
  <si>
    <t>1.1.5</t>
  </si>
  <si>
    <t>1.1.6</t>
  </si>
  <si>
    <t>1.2.1</t>
  </si>
  <si>
    <t>4.4</t>
  </si>
  <si>
    <t>9.6</t>
  </si>
  <si>
    <t>9.7</t>
  </si>
  <si>
    <t>9.8</t>
  </si>
  <si>
    <t>V</t>
  </si>
  <si>
    <t>VI</t>
  </si>
  <si>
    <t>VII</t>
  </si>
  <si>
    <t>VIII</t>
  </si>
  <si>
    <t>X</t>
  </si>
  <si>
    <t>Serviço: 160501 -AGETOP</t>
  </si>
  <si>
    <t xml:space="preserve">RETIRADA DE FORRO DE PVC </t>
  </si>
  <si>
    <t>Serviço: 170106 - AGETOP</t>
  </si>
  <si>
    <t>BANHEIROS  E COZINHA</t>
  </si>
  <si>
    <t>Serviço: 220112 - AGETOP</t>
  </si>
  <si>
    <t>IMPERMEABILIZAÇÃO DE MURO DE ARRIMO COM EMULSÃO ASFÁLTICA</t>
  </si>
  <si>
    <t>Serviço: 121101 - AGETOP</t>
  </si>
  <si>
    <t>Serviço: 061130 - AGETOP</t>
  </si>
  <si>
    <t>MURO DE ARRIMO EM CANALETA PADRÃO AGETOP INCLUSO FUNDAÇÃO</t>
  </si>
  <si>
    <t xml:space="preserve"> RES.METALICO TAÇA AÇO PATINÁVEL-V=15M3-COL.SEC.H=6M+FUNDAÇÃO+LOGOTIPO</t>
  </si>
  <si>
    <t>Serviço: 180328  - AGETOP</t>
  </si>
  <si>
    <t>Serviço: 200200 - AGETOP</t>
  </si>
  <si>
    <t>Serviço: 180509 - AGETOP</t>
  </si>
  <si>
    <t>Serviço: 170103 - AGETOP</t>
  </si>
  <si>
    <t>Serviço: 261302 - AGETOP</t>
  </si>
  <si>
    <t>Serviço: 180282 - AGETOP</t>
  </si>
  <si>
    <t>Serviço: 081882 - AGETOP</t>
  </si>
  <si>
    <t>Serviço: 070691 - AGETOP</t>
  </si>
  <si>
    <t>Serviço: 070703   - AGETOP</t>
  </si>
  <si>
    <t>Serviço: 071391 - AGETOP</t>
  </si>
  <si>
    <t>Serviço: 080515  - AGETOP</t>
  </si>
  <si>
    <t>Serviço: 080525 - AGETOP</t>
  </si>
  <si>
    <t>Serviço: 080514  - AGETOP</t>
  </si>
  <si>
    <t>PM03- PORTA DE MADEIRA COM CHAPA E BARRA METÁLICA (80X210cm)</t>
  </si>
  <si>
    <t>ESMALTE SINTÉTICO EM COBERTURA REFEITÓRIO, ADMINISTRAÇÃO E COZINHA</t>
  </si>
  <si>
    <t>SUB TOTAL ITEM 15.0</t>
  </si>
  <si>
    <t>TOTAL ITEM 15.0</t>
  </si>
  <si>
    <t>8.8</t>
  </si>
  <si>
    <t>9.9</t>
  </si>
  <si>
    <t>14.6</t>
  </si>
  <si>
    <t>14.7</t>
  </si>
  <si>
    <t>14.8</t>
  </si>
  <si>
    <t>FONTE DE PREÇOS/CODIGOS</t>
  </si>
  <si>
    <t>LOCALIZAÇÃO: SAE - ITUIUTABA-MG</t>
  </si>
  <si>
    <t>SAE</t>
  </si>
  <si>
    <t>ALVENARIA DE TIJOLO CERÂMICO FURADO E = 15 CM, A REVESTIR</t>
  </si>
  <si>
    <t>ALV-TIJ-030</t>
  </si>
  <si>
    <t>CHAPISCO DE PAREDES COM ARGAMASSA 1:3 CIMENTO E AREIA, A COLHER</t>
  </si>
  <si>
    <t>REV-CHA-005</t>
  </si>
  <si>
    <t>REBOCO COM ARGAMASSA 1:2:9 CIMENTO, CAL E AREIA COM ADITIVO IMPERMEABILIZANTE</t>
  </si>
  <si>
    <t>REV-REB-010</t>
  </si>
  <si>
    <t>PINTURA ACRÍLICA, EM PAREDES, 2 DEMÃOS SEM MASSA CORRIDA, EXCLUSIVE FUNDO SELADOR</t>
  </si>
  <si>
    <t>PIN-ACR-005</t>
  </si>
  <si>
    <t>SETOP - 2018/1</t>
  </si>
  <si>
    <t xml:space="preserve">TOTAL </t>
  </si>
  <si>
    <t>2.5</t>
  </si>
  <si>
    <t>SAE - PADRÃO CEMIG E GERADOR AV. 33</t>
  </si>
  <si>
    <t>OBRA: PADRÃO CEMIG E GERADOR</t>
  </si>
  <si>
    <t>REMOÇÃO DE PADRÃO DA CEMIG</t>
  </si>
  <si>
    <t>DEM-PAD-005</t>
  </si>
  <si>
    <t>REMOÇÃO DE CERCA</t>
  </si>
  <si>
    <t>DEM-CER-005</t>
  </si>
  <si>
    <t>DEMOLIÇÃO DE CONCRETO ARMADO - COM EQUIPAMENTO
ELÉTRICO, INCLUSIVE AFASTAMENTO</t>
  </si>
  <si>
    <t>DEM-CON-020</t>
  </si>
  <si>
    <t>M3</t>
  </si>
  <si>
    <t xml:space="preserve">RETIRADA DE TUBULAÇÕES EMBUTIDAS DE REDE DE ÁGUA, ELÉTRICA,
GASES ETC., INCLUSIVE CORTES E DESVIOS </t>
  </si>
  <si>
    <t xml:space="preserve">DEM-RED-010 </t>
  </si>
  <si>
    <t>CAIXA DE PASSAGEM PARA PISO DO TIPO “ZB” 52 X 44 X 70 CM</t>
  </si>
  <si>
    <t>3.5</t>
  </si>
  <si>
    <t>3.6</t>
  </si>
  <si>
    <t>3.7</t>
  </si>
  <si>
    <t>3.8</t>
  </si>
  <si>
    <t>3.9</t>
  </si>
  <si>
    <t>3.10</t>
  </si>
  <si>
    <t>BASE DO GERADOR, RADIER, CONCRETO E FERRAGENS</t>
  </si>
  <si>
    <t>FORNECIMENTO E LANÇAMENTO DE CONCRETO ESTRUTURAL
USINADO FCK &gt;= 25 MPA, BRITA 1 E MÓDULO DE ELASTICIDADE
CONFORME NBR 6118</t>
  </si>
  <si>
    <t>EST-CON-085</t>
  </si>
  <si>
    <t xml:space="preserve"> CORTE, DOBRA E ARMAÇÃO DE AÇO CA-50 D &lt;= 12,5 MM</t>
  </si>
  <si>
    <t>KG</t>
  </si>
  <si>
    <t>ARM-AÇO-005</t>
  </si>
  <si>
    <t xml:space="preserve"> CORTE, DOBRA E ARMAÇÃO DE AÇO CA-60</t>
  </si>
  <si>
    <t>ARM-AÇO-015</t>
  </si>
  <si>
    <t>FORMA E DESFORMA EM TÁBUAS DE PINHO, EXCLUSIVE
ESCORAMENTO (3X)</t>
  </si>
  <si>
    <t>EST-FOR-005</t>
  </si>
  <si>
    <t>LOCAÇÃO DA OBRA (GABARITO)</t>
  </si>
  <si>
    <t xml:space="preserve">LOC-OBR-005 </t>
  </si>
  <si>
    <t>ELE-PAD-090</t>
  </si>
  <si>
    <t>MANGUEIRA PVC FLEXÍVEL CORRUGADO D = 3"</t>
  </si>
  <si>
    <t>ELE-MAN-040</t>
  </si>
  <si>
    <t>CABO DE COBRE ISOLAMENTO ANTI-CHAMA, SEÇÃO 95 MM2,
0,6/1KV (1 CONDUTOR) TP - FLEXÍVEL (PRETO)</t>
  </si>
  <si>
    <t>ELE-CAB-130.2</t>
  </si>
  <si>
    <t>CABO DE COBRE ISOLAMENTO ANTI-CHAMA, SEÇÃO 95 MM2,
0,6/1KV (1 CONDUTOR) TP - FLEXÍVEL (AZUL CLARO)</t>
  </si>
  <si>
    <t>ELE-CAB-130.5</t>
  </si>
  <si>
    <t>ATERRAMENTO COMPLETO, COM HASTES COPPERWELD 5/8" X 2,40 M</t>
  </si>
  <si>
    <t>ELE-ATE-005</t>
  </si>
  <si>
    <t>CAIXA PRÉ MOLDADA PARA ATERRAMENTO COM TAMPA DE
CONCRETO 25 X 25 X 50 CM</t>
  </si>
  <si>
    <t>ELE-ATE-015</t>
  </si>
  <si>
    <t>CABO COBRE NU # 10 MM2 INCLUSIVE SUPORTE</t>
  </si>
  <si>
    <t>ELE-COR-010</t>
  </si>
  <si>
    <t>CABO COBRE NU # 35 MM2 INCLUSIVE SUPORTE</t>
  </si>
  <si>
    <t>ELE-COR-025</t>
  </si>
  <si>
    <t>3.11</t>
  </si>
  <si>
    <t>3.12</t>
  </si>
  <si>
    <t>3.13</t>
  </si>
  <si>
    <t>4.5</t>
  </si>
  <si>
    <t>PORTÃO DE ALAMBRADO COLOCADO COM CADEADO</t>
  </si>
  <si>
    <t>SER-POR-055</t>
  </si>
  <si>
    <t>CANALETA SANITÁRIA ABERTA 5 X 8 CM</t>
  </si>
  <si>
    <t>DRE-CAN-060</t>
  </si>
  <si>
    <t>CAIXA DE CAPTAÇÃO E DRENAGEM TIPO S.A.O. COMPACTA
D = 500 MM A 1500MM, INCLUSIVE ESCAVAÇÃO, REATERRO E BOTA
FORA</t>
  </si>
  <si>
    <t>DRE-CXS-020</t>
  </si>
  <si>
    <t>RALO SEMI- HEMISFÉRICO TIPO ABACAXI D = 75 MM</t>
  </si>
  <si>
    <t>HID-RAL-020</t>
  </si>
  <si>
    <t>TUBO PVC ESGOTO PB, INCLUSIVE CONEXÕES E SUPORTES, 75 MM</t>
  </si>
  <si>
    <t>HID-TUB-050</t>
  </si>
  <si>
    <t>TUBO PVC ESGOTO PB, INCLUSIVE CONEXÕES E SUPORTES, 100 MM</t>
  </si>
  <si>
    <t>HID-TUB-055</t>
  </si>
  <si>
    <t>4.6</t>
  </si>
  <si>
    <t>4.7</t>
  </si>
  <si>
    <t>PADRÃO CEMIG 200A E ATERRAMENTO</t>
  </si>
  <si>
    <t>LIMPEZA GERAL DE OBRA</t>
  </si>
  <si>
    <t>LIM-GER-005</t>
  </si>
  <si>
    <t xml:space="preserve">ENGENHEIRO/ARQUITETO INTERMEDIÁRIO </t>
  </si>
  <si>
    <t>CON-COR-075</t>
  </si>
  <si>
    <t>ALAMBRADO, CANALETA DE COLETA, CAIXA SEPARADORA S.A.O. E LIMPEZA FINAL</t>
  </si>
  <si>
    <t>PADRÃO CEMIG SUBTERRÂNEO TIPO C8, 66,1 &lt;= DEMANDA &lt;= 75
KVA, TRIFÁSICO 200A</t>
  </si>
  <si>
    <t>ESCAVAÇÃO MANUAL DE VALAS H &lt;= 1,50 M</t>
  </si>
  <si>
    <t>ATERRO COMPACTADO MANUAL, COM SOQUETE</t>
  </si>
  <si>
    <t>TER-ATE-015</t>
  </si>
  <si>
    <t>TER-ESC-035</t>
  </si>
  <si>
    <t>2.6</t>
  </si>
  <si>
    <t>2.7</t>
  </si>
  <si>
    <t>SINAPI - 73787/001</t>
  </si>
  <si>
    <t>FUN-LAS-005</t>
  </si>
  <si>
    <t>LASTRO DE CONCRETO MAGRO</t>
  </si>
  <si>
    <t>2.8</t>
  </si>
  <si>
    <t>ELETRICISTA COM ENCARGOS COMPLEMENTARES</t>
  </si>
  <si>
    <t>MAO-OFC-035</t>
  </si>
  <si>
    <t>PLANILHA DE COMPOSIÇÃO DE BDI - SERVIÇOS</t>
  </si>
  <si>
    <t>Proponente</t>
  </si>
  <si>
    <t>Orgão Financiador</t>
  </si>
  <si>
    <t>Superintendencia de água e esgotos de Ituiutaba</t>
  </si>
  <si>
    <t>Recursos próprios</t>
  </si>
  <si>
    <t xml:space="preserve">Empreendimento </t>
  </si>
  <si>
    <t>Município</t>
  </si>
  <si>
    <t>ITUIUTABA/MG</t>
  </si>
  <si>
    <r>
      <t>Regime de execução das obras:</t>
    </r>
    <r>
      <rPr>
        <b/>
        <sz val="14"/>
        <rFont val="Arial"/>
        <family val="2"/>
      </rPr>
      <t xml:space="preserve"> EMPREITADA GLOBAL </t>
    </r>
  </si>
  <si>
    <t>Composição do BDI sugerida</t>
  </si>
  <si>
    <t>Intervalos admissíveis sem justificativa</t>
  </si>
  <si>
    <t>Composição de BDI Adotada</t>
  </si>
  <si>
    <t>BDI Proposto:</t>
  </si>
  <si>
    <t>Garantia e Seguro (GS)</t>
  </si>
  <si>
    <t xml:space="preserve">De </t>
  </si>
  <si>
    <t>até</t>
  </si>
  <si>
    <t>Garantia:</t>
  </si>
  <si>
    <t>BDI=((1+Ac+R+GS)×(1+Df)×(1+L))/((1-I))</t>
  </si>
  <si>
    <t xml:space="preserve">Risco (R) </t>
  </si>
  <si>
    <t>Risco:</t>
  </si>
  <si>
    <t>Despesas financeiras (Df)</t>
  </si>
  <si>
    <t>Despesas financeiras:</t>
  </si>
  <si>
    <t xml:space="preserve"> Observações:</t>
  </si>
  <si>
    <t>Administração Central (Ac)</t>
  </si>
  <si>
    <t>Administração central:</t>
  </si>
  <si>
    <t>Lucro (L)</t>
  </si>
  <si>
    <t>Lucro:</t>
  </si>
  <si>
    <t>i) Composição do BDI, intervalos admissíveis e fórmula de cálculo nos termos do Acórdão 2622/2013 do TCU.</t>
  </si>
  <si>
    <t>Impostos (I)</t>
  </si>
  <si>
    <t>Tributos:</t>
  </si>
  <si>
    <t>PIS</t>
  </si>
  <si>
    <t>COFINS</t>
  </si>
  <si>
    <t>ii) Tributos adotados =   PIS + CONFINS+ ISS+CPRB</t>
  </si>
  <si>
    <t>ISS</t>
  </si>
  <si>
    <t>CPRB - Lei 12.546/11 - SINAPI desonerado</t>
  </si>
  <si>
    <t>Matheus Gabe Viana Barros</t>
  </si>
  <si>
    <t xml:space="preserve">Engenheiro Civil </t>
  </si>
  <si>
    <t>CREA 1015027237/D-GO</t>
  </si>
  <si>
    <t>ALAMBRADO EM TUBOS DE ACO GALVANIZADO, COM COSTURA, DIN 2440, DIAMETRO 2", ALTURA 3M, FIXADOS A CADA 2M EM BLOCOS DE CONCRETO, COM TELA DE ARAME GALVANIZADO REVESTIDO COM PVC, FIO 12 BWG E MALHA 7,5X7,5CM</t>
  </si>
  <si>
    <t>4.8</t>
  </si>
  <si>
    <t>ELE-CXS-210</t>
  </si>
  <si>
    <t>MOB-DES-020</t>
  </si>
  <si>
    <t>0,5% CD</t>
  </si>
  <si>
    <t>MOBILIZAÇÃO E DESMOBILIZAÇÃO DE OBRA - PARA OBRAS EXECUTADAS EM CENTROS URBANOS OU PRÓXIMOS DE CENTROS URBANOS - OBRAS ATÉ O VALOR DE 1.000.000,00</t>
  </si>
  <si>
    <t>3.14</t>
  </si>
  <si>
    <t>Matheus Gabe e Lázaro Júnior - Orçamentistas 20/07/2018</t>
  </si>
  <si>
    <t>Engenheiro Civil SAE - Projetos e Obras</t>
  </si>
  <si>
    <t>CREA 1015027237D-GO</t>
  </si>
  <si>
    <t>SAE - PADRÃO CEMIG E GERADOR AV. 33 - troca do padrão e construção da base do gerador</t>
  </si>
</sst>
</file>

<file path=xl/styles.xml><?xml version="1.0" encoding="utf-8"?>
<styleSheet xmlns="http://schemas.openxmlformats.org/spreadsheetml/2006/main">
  <numFmts count="5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0.0"/>
    <numFmt numFmtId="195" formatCode="0.0000"/>
    <numFmt numFmtId="196" formatCode="0.000"/>
    <numFmt numFmtId="197" formatCode="_(* #,##0.000_);_(* \(#,##0.000\);_(* &quot;-&quot;???_);_(@_)"/>
    <numFmt numFmtId="198" formatCode="[$-416]dddd\,\ d&quot; de &quot;mmmm&quot; de &quot;yyyy"/>
    <numFmt numFmtId="199" formatCode="0.0000000000"/>
    <numFmt numFmtId="200" formatCode="0.000000000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  <numFmt numFmtId="205" formatCode="&quot;R$&quot;\ #,##0.00"/>
    <numFmt numFmtId="206" formatCode="&quot;Ativado&quot;;&quot;Ativado&quot;;&quot;Desativado&quot;"/>
    <numFmt numFmtId="207" formatCode="_(* #,##0.00_);_(* \(#,##0.00\);_(* \-??_);_(@_)"/>
    <numFmt numFmtId="208" formatCode="0.0000%"/>
    <numFmt numFmtId="209" formatCode="_-* #,##0.000_-;\-* #,##0.000_-;_-* &quot;-&quot;???_-;_-@_-"/>
    <numFmt numFmtId="210" formatCode="#,##0.00_ ;\-#,##0.00\ "/>
    <numFmt numFmtId="211" formatCode="0.0%"/>
    <numFmt numFmtId="212" formatCode="0.00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1"/>
      <color indexed="8"/>
      <name val="Arial"/>
      <family val="2"/>
    </font>
    <font>
      <sz val="21"/>
      <color indexed="8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6"/>
      <color indexed="8"/>
      <name val="Arial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2"/>
      <name val="Arial"/>
      <family val="2"/>
    </font>
    <font>
      <b/>
      <sz val="26"/>
      <color indexed="8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b/>
      <sz val="22"/>
      <color indexed="62"/>
      <name val="Arial"/>
      <family val="2"/>
    </font>
    <font>
      <b/>
      <sz val="26"/>
      <color indexed="10"/>
      <name val="Arial"/>
      <family val="2"/>
    </font>
    <font>
      <b/>
      <sz val="26"/>
      <color indexed="6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28"/>
      <name val="Arial"/>
      <family val="2"/>
    </font>
    <font>
      <b/>
      <sz val="14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177" fontId="21" fillId="24" borderId="12" xfId="68" applyFont="1" applyFill="1" applyBorder="1" applyAlignment="1">
      <alignment horizontal="center"/>
    </xf>
    <xf numFmtId="177" fontId="21" fillId="24" borderId="13" xfId="68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177" fontId="22" fillId="0" borderId="15" xfId="68" applyFont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43" fontId="23" fillId="0" borderId="16" xfId="68" applyNumberFormat="1" applyFont="1" applyFill="1" applyBorder="1" applyAlignment="1">
      <alignment horizontal="center"/>
    </xf>
    <xf numFmtId="177" fontId="22" fillId="0" borderId="16" xfId="68" applyFont="1" applyBorder="1" applyAlignment="1">
      <alignment horizontal="center"/>
    </xf>
    <xf numFmtId="43" fontId="23" fillId="0" borderId="17" xfId="68" applyNumberFormat="1" applyFont="1" applyFill="1" applyBorder="1" applyAlignment="1">
      <alignment horizontal="center"/>
    </xf>
    <xf numFmtId="177" fontId="22" fillId="0" borderId="17" xfId="68" applyFont="1" applyBorder="1" applyAlignment="1">
      <alignment horizontal="center"/>
    </xf>
    <xf numFmtId="43" fontId="23" fillId="0" borderId="11" xfId="68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77" fontId="23" fillId="0" borderId="18" xfId="68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77" fontId="23" fillId="0" borderId="12" xfId="68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177" fontId="23" fillId="0" borderId="19" xfId="68" applyFont="1" applyBorder="1" applyAlignment="1">
      <alignment horizontal="center"/>
    </xf>
    <xf numFmtId="177" fontId="22" fillId="0" borderId="20" xfId="68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77" fontId="23" fillId="0" borderId="17" xfId="68" applyFont="1" applyBorder="1" applyAlignment="1">
      <alignment horizontal="center"/>
    </xf>
    <xf numFmtId="177" fontId="22" fillId="0" borderId="21" xfId="68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77" fontId="23" fillId="0" borderId="16" xfId="68" applyFont="1" applyBorder="1" applyAlignment="1">
      <alignment horizontal="center"/>
    </xf>
    <xf numFmtId="177" fontId="23" fillId="0" borderId="22" xfId="68" applyFont="1" applyBorder="1" applyAlignment="1">
      <alignment horizontal="center"/>
    </xf>
    <xf numFmtId="0" fontId="3" fillId="17" borderId="23" xfId="0" applyFont="1" applyFill="1" applyBorder="1" applyAlignment="1">
      <alignment horizontal="center"/>
    </xf>
    <xf numFmtId="0" fontId="24" fillId="24" borderId="24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/>
    </xf>
    <xf numFmtId="177" fontId="25" fillId="24" borderId="25" xfId="68" applyFont="1" applyFill="1" applyBorder="1" applyAlignment="1">
      <alignment wrapText="1"/>
    </xf>
    <xf numFmtId="177" fontId="27" fillId="24" borderId="0" xfId="68" applyFont="1" applyFill="1" applyBorder="1" applyAlignment="1">
      <alignment wrapText="1"/>
    </xf>
    <xf numFmtId="177" fontId="21" fillId="24" borderId="0" xfId="68" applyFont="1" applyFill="1" applyBorder="1" applyAlignment="1">
      <alignment wrapText="1"/>
    </xf>
    <xf numFmtId="177" fontId="22" fillId="24" borderId="12" xfId="68" applyFont="1" applyFill="1" applyBorder="1" applyAlignment="1">
      <alignment horizontal="center" wrapText="1"/>
    </xf>
    <xf numFmtId="177" fontId="21" fillId="24" borderId="13" xfId="68" applyFont="1" applyFill="1" applyBorder="1" applyAlignment="1">
      <alignment horizontal="center" wrapText="1"/>
    </xf>
    <xf numFmtId="43" fontId="23" fillId="0" borderId="16" xfId="68" applyNumberFormat="1" applyFont="1" applyFill="1" applyBorder="1" applyAlignment="1">
      <alignment wrapText="1"/>
    </xf>
    <xf numFmtId="43" fontId="23" fillId="0" borderId="11" xfId="68" applyNumberFormat="1" applyFont="1" applyFill="1" applyBorder="1" applyAlignment="1">
      <alignment wrapText="1"/>
    </xf>
    <xf numFmtId="43" fontId="23" fillId="0" borderId="17" xfId="68" applyNumberFormat="1" applyFont="1" applyFill="1" applyBorder="1" applyAlignment="1">
      <alignment wrapText="1"/>
    </xf>
    <xf numFmtId="177" fontId="22" fillId="0" borderId="16" xfId="68" applyFont="1" applyBorder="1" applyAlignment="1">
      <alignment horizontal="left" wrapText="1"/>
    </xf>
    <xf numFmtId="177" fontId="22" fillId="0" borderId="17" xfId="68" applyFont="1" applyBorder="1" applyAlignment="1">
      <alignment horizontal="left" wrapText="1"/>
    </xf>
    <xf numFmtId="177" fontId="23" fillId="0" borderId="12" xfId="68" applyFont="1" applyBorder="1" applyAlignment="1">
      <alignment horizontal="left" wrapText="1"/>
    </xf>
    <xf numFmtId="177" fontId="23" fillId="0" borderId="18" xfId="68" applyFont="1" applyBorder="1" applyAlignment="1">
      <alignment horizontal="left" wrapText="1"/>
    </xf>
    <xf numFmtId="177" fontId="22" fillId="0" borderId="15" xfId="68" applyFont="1" applyBorder="1" applyAlignment="1">
      <alignment wrapText="1"/>
    </xf>
    <xf numFmtId="177" fontId="22" fillId="0" borderId="15" xfId="68" applyFont="1" applyBorder="1" applyAlignment="1">
      <alignment horizontal="left" wrapText="1"/>
    </xf>
    <xf numFmtId="177" fontId="23" fillId="0" borderId="17" xfId="68" applyFont="1" applyBorder="1" applyAlignment="1">
      <alignment wrapText="1"/>
    </xf>
    <xf numFmtId="177" fontId="22" fillId="0" borderId="21" xfId="68" applyFont="1" applyBorder="1" applyAlignment="1">
      <alignment horizontal="left" wrapText="1"/>
    </xf>
    <xf numFmtId="177" fontId="23" fillId="0" borderId="18" xfId="68" applyFont="1" applyBorder="1" applyAlignment="1">
      <alignment wrapText="1"/>
    </xf>
    <xf numFmtId="177" fontId="23" fillId="0" borderId="12" xfId="68" applyFont="1" applyBorder="1" applyAlignment="1">
      <alignment wrapText="1"/>
    </xf>
    <xf numFmtId="177" fontId="23" fillId="0" borderId="16" xfId="68" applyFont="1" applyBorder="1" applyAlignment="1">
      <alignment wrapText="1"/>
    </xf>
    <xf numFmtId="177" fontId="23" fillId="0" borderId="16" xfId="68" applyFont="1" applyBorder="1" applyAlignment="1">
      <alignment horizontal="left" wrapText="1"/>
    </xf>
    <xf numFmtId="177" fontId="23" fillId="0" borderId="15" xfId="68" applyFont="1" applyBorder="1" applyAlignment="1">
      <alignment horizontal="left" wrapText="1"/>
    </xf>
    <xf numFmtId="177" fontId="23" fillId="0" borderId="11" xfId="68" applyFont="1" applyBorder="1" applyAlignment="1">
      <alignment horizontal="left" wrapText="1"/>
    </xf>
    <xf numFmtId="177" fontId="23" fillId="0" borderId="0" xfId="68" applyFont="1" applyAlignment="1">
      <alignment wrapText="1"/>
    </xf>
    <xf numFmtId="0" fontId="22" fillId="24" borderId="26" xfId="0" applyFont="1" applyFill="1" applyBorder="1" applyAlignment="1">
      <alignment/>
    </xf>
    <xf numFmtId="177" fontId="22" fillId="24" borderId="27" xfId="68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43" fontId="3" fillId="0" borderId="23" xfId="68" applyNumberFormat="1" applyFont="1" applyFill="1" applyBorder="1" applyAlignment="1">
      <alignment wrapText="1"/>
    </xf>
    <xf numFmtId="43" fontId="23" fillId="0" borderId="23" xfId="68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177" fontId="22" fillId="0" borderId="20" xfId="68" applyFont="1" applyBorder="1" applyAlignment="1">
      <alignment horizontal="left" wrapText="1"/>
    </xf>
    <xf numFmtId="177" fontId="38" fillId="24" borderId="0" xfId="68" applyFont="1" applyFill="1" applyBorder="1" applyAlignment="1">
      <alignment wrapText="1"/>
    </xf>
    <xf numFmtId="0" fontId="38" fillId="0" borderId="0" xfId="0" applyFont="1" applyBorder="1" applyAlignment="1">
      <alignment wrapText="1"/>
    </xf>
    <xf numFmtId="177" fontId="38" fillId="24" borderId="27" xfId="68" applyFont="1" applyFill="1" applyBorder="1" applyAlignment="1">
      <alignment wrapText="1"/>
    </xf>
    <xf numFmtId="177" fontId="38" fillId="0" borderId="23" xfId="68" applyFont="1" applyBorder="1" applyAlignment="1">
      <alignment horizontal="center" wrapText="1"/>
    </xf>
    <xf numFmtId="177" fontId="38" fillId="0" borderId="15" xfId="68" applyFont="1" applyBorder="1" applyAlignment="1">
      <alignment horizontal="center" wrapText="1"/>
    </xf>
    <xf numFmtId="177" fontId="39" fillId="0" borderId="23" xfId="68" applyFont="1" applyBorder="1" applyAlignment="1">
      <alignment horizontal="center" wrapText="1"/>
    </xf>
    <xf numFmtId="177" fontId="38" fillId="0" borderId="20" xfId="68" applyFont="1" applyBorder="1" applyAlignment="1">
      <alignment horizontal="center" wrapText="1"/>
    </xf>
    <xf numFmtId="177" fontId="39" fillId="0" borderId="23" xfId="68" applyFont="1" applyFill="1" applyBorder="1" applyAlignment="1">
      <alignment horizontal="center" wrapText="1"/>
    </xf>
    <xf numFmtId="177" fontId="39" fillId="0" borderId="28" xfId="68" applyFont="1" applyBorder="1" applyAlignment="1">
      <alignment horizontal="center" wrapText="1"/>
    </xf>
    <xf numFmtId="0" fontId="38" fillId="0" borderId="23" xfId="0" applyFont="1" applyBorder="1" applyAlignment="1">
      <alignment wrapText="1"/>
    </xf>
    <xf numFmtId="177" fontId="39" fillId="14" borderId="23" xfId="68" applyFont="1" applyFill="1" applyBorder="1" applyAlignment="1">
      <alignment horizontal="center" wrapText="1"/>
    </xf>
    <xf numFmtId="177" fontId="39" fillId="14" borderId="28" xfId="68" applyFont="1" applyFill="1" applyBorder="1" applyAlignment="1">
      <alignment horizontal="center" wrapText="1"/>
    </xf>
    <xf numFmtId="177" fontId="38" fillId="0" borderId="0" xfId="68" applyFont="1" applyAlignment="1">
      <alignment wrapText="1"/>
    </xf>
    <xf numFmtId="177" fontId="23" fillId="0" borderId="15" xfId="68" applyFont="1" applyBorder="1" applyAlignment="1">
      <alignment horizontal="center" wrapText="1"/>
    </xf>
    <xf numFmtId="177" fontId="23" fillId="0" borderId="11" xfId="68" applyFont="1" applyBorder="1" applyAlignment="1">
      <alignment horizontal="center" wrapText="1"/>
    </xf>
    <xf numFmtId="177" fontId="23" fillId="0" borderId="16" xfId="68" applyFont="1" applyBorder="1" applyAlignment="1">
      <alignment horizontal="center" wrapText="1"/>
    </xf>
    <xf numFmtId="177" fontId="23" fillId="0" borderId="15" xfId="68" applyFont="1" applyBorder="1" applyAlignment="1">
      <alignment horizontal="center"/>
    </xf>
    <xf numFmtId="177" fontId="23" fillId="0" borderId="17" xfId="68" applyFont="1" applyBorder="1" applyAlignment="1">
      <alignment horizontal="center" wrapText="1"/>
    </xf>
    <xf numFmtId="177" fontId="23" fillId="0" borderId="11" xfId="68" applyFont="1" applyBorder="1" applyAlignment="1">
      <alignment horizontal="center"/>
    </xf>
    <xf numFmtId="177" fontId="23" fillId="0" borderId="18" xfId="68" applyFont="1" applyFill="1" applyBorder="1" applyAlignment="1">
      <alignment wrapText="1"/>
    </xf>
    <xf numFmtId="177" fontId="23" fillId="0" borderId="12" xfId="68" applyFont="1" applyFill="1" applyBorder="1" applyAlignment="1">
      <alignment horizontal="center"/>
    </xf>
    <xf numFmtId="177" fontId="23" fillId="0" borderId="15" xfId="68" applyFont="1" applyFill="1" applyBorder="1" applyAlignment="1">
      <alignment horizontal="center" wrapText="1"/>
    </xf>
    <xf numFmtId="43" fontId="23" fillId="0" borderId="18" xfId="68" applyNumberFormat="1" applyFont="1" applyFill="1" applyBorder="1" applyAlignment="1">
      <alignment wrapText="1"/>
    </xf>
    <xf numFmtId="0" fontId="23" fillId="0" borderId="14" xfId="0" applyFont="1" applyBorder="1" applyAlignment="1">
      <alignment horizontal="center"/>
    </xf>
    <xf numFmtId="177" fontId="23" fillId="0" borderId="14" xfId="68" applyFont="1" applyBorder="1" applyAlignment="1">
      <alignment wrapText="1"/>
    </xf>
    <xf numFmtId="177" fontId="23" fillId="0" borderId="14" xfId="68" applyFont="1" applyBorder="1" applyAlignment="1">
      <alignment horizontal="center"/>
    </xf>
    <xf numFmtId="177" fontId="23" fillId="0" borderId="0" xfId="68" applyFont="1" applyBorder="1" applyAlignment="1">
      <alignment horizontal="center"/>
    </xf>
    <xf numFmtId="177" fontId="22" fillId="0" borderId="0" xfId="68" applyFont="1" applyBorder="1" applyAlignment="1">
      <alignment horizontal="center"/>
    </xf>
    <xf numFmtId="177" fontId="22" fillId="0" borderId="0" xfId="68" applyFont="1" applyBorder="1" applyAlignment="1">
      <alignment horizontal="left" wrapText="1"/>
    </xf>
    <xf numFmtId="205" fontId="21" fillId="24" borderId="23" xfId="68" applyNumberFormat="1" applyFont="1" applyFill="1" applyBorder="1" applyAlignment="1">
      <alignment horizontal="center"/>
    </xf>
    <xf numFmtId="205" fontId="22" fillId="0" borderId="15" xfId="68" applyNumberFormat="1" applyFont="1" applyBorder="1" applyAlignment="1">
      <alignment horizontal="center"/>
    </xf>
    <xf numFmtId="205" fontId="22" fillId="0" borderId="23" xfId="68" applyNumberFormat="1" applyFont="1" applyBorder="1" applyAlignment="1">
      <alignment horizontal="center"/>
    </xf>
    <xf numFmtId="205" fontId="21" fillId="0" borderId="23" xfId="68" applyNumberFormat="1" applyFont="1" applyBorder="1" applyAlignment="1">
      <alignment horizontal="center"/>
    </xf>
    <xf numFmtId="205" fontId="22" fillId="0" borderId="16" xfId="68" applyNumberFormat="1" applyFont="1" applyBorder="1" applyAlignment="1">
      <alignment horizontal="center"/>
    </xf>
    <xf numFmtId="205" fontId="22" fillId="0" borderId="11" xfId="68" applyNumberFormat="1" applyFont="1" applyBorder="1" applyAlignment="1">
      <alignment horizontal="center"/>
    </xf>
    <xf numFmtId="205" fontId="21" fillId="0" borderId="28" xfId="68" applyNumberFormat="1" applyFont="1" applyBorder="1" applyAlignment="1">
      <alignment horizontal="center"/>
    </xf>
    <xf numFmtId="205" fontId="21" fillId="14" borderId="23" xfId="68" applyNumberFormat="1" applyFont="1" applyFill="1" applyBorder="1" applyAlignment="1">
      <alignment horizontal="center"/>
    </xf>
    <xf numFmtId="205" fontId="21" fillId="14" borderId="28" xfId="68" applyNumberFormat="1" applyFont="1" applyFill="1" applyBorder="1" applyAlignment="1">
      <alignment horizontal="center"/>
    </xf>
    <xf numFmtId="205" fontId="22" fillId="0" borderId="21" xfId="68" applyNumberFormat="1" applyFont="1" applyBorder="1" applyAlignment="1">
      <alignment horizontal="center"/>
    </xf>
    <xf numFmtId="205" fontId="22" fillId="24" borderId="0" xfId="68" applyNumberFormat="1" applyFont="1" applyFill="1" applyBorder="1" applyAlignment="1">
      <alignment horizontal="center"/>
    </xf>
    <xf numFmtId="205" fontId="21" fillId="24" borderId="0" xfId="68" applyNumberFormat="1" applyFont="1" applyFill="1" applyBorder="1" applyAlignment="1">
      <alignment horizontal="center"/>
    </xf>
    <xf numFmtId="205" fontId="22" fillId="24" borderId="27" xfId="68" applyNumberFormat="1" applyFont="1" applyFill="1" applyBorder="1" applyAlignment="1">
      <alignment horizontal="center"/>
    </xf>
    <xf numFmtId="205" fontId="23" fillId="0" borderId="15" xfId="68" applyNumberFormat="1" applyFont="1" applyFill="1" applyBorder="1" applyAlignment="1">
      <alignment horizontal="center"/>
    </xf>
    <xf numFmtId="205" fontId="23" fillId="0" borderId="29" xfId="68" applyNumberFormat="1" applyFont="1" applyBorder="1" applyAlignment="1">
      <alignment horizontal="center"/>
    </xf>
    <xf numFmtId="205" fontId="23" fillId="0" borderId="12" xfId="68" applyNumberFormat="1" applyFont="1" applyFill="1" applyBorder="1" applyAlignment="1">
      <alignment horizontal="center"/>
    </xf>
    <xf numFmtId="205" fontId="22" fillId="0" borderId="16" xfId="68" applyNumberFormat="1" applyFont="1" applyBorder="1" applyAlignment="1">
      <alignment horizontal="center" wrapText="1"/>
    </xf>
    <xf numFmtId="205" fontId="22" fillId="0" borderId="15" xfId="68" applyNumberFormat="1" applyFont="1" applyBorder="1" applyAlignment="1">
      <alignment horizontal="center" wrapText="1"/>
    </xf>
    <xf numFmtId="205" fontId="23" fillId="0" borderId="0" xfId="68" applyNumberFormat="1" applyFont="1" applyAlignment="1">
      <alignment horizontal="center"/>
    </xf>
    <xf numFmtId="205" fontId="23" fillId="0" borderId="0" xfId="54" applyNumberFormat="1" applyFont="1" applyAlignment="1">
      <alignment horizontal="center"/>
    </xf>
    <xf numFmtId="177" fontId="22" fillId="24" borderId="0" xfId="68" applyFont="1" applyFill="1" applyBorder="1" applyAlignment="1">
      <alignment horizontal="center"/>
    </xf>
    <xf numFmtId="177" fontId="22" fillId="24" borderId="27" xfId="68" applyFont="1" applyFill="1" applyBorder="1" applyAlignment="1">
      <alignment horizontal="center"/>
    </xf>
    <xf numFmtId="177" fontId="23" fillId="0" borderId="0" xfId="68" applyFont="1" applyAlignment="1">
      <alignment horizontal="center"/>
    </xf>
    <xf numFmtId="177" fontId="22" fillId="0" borderId="12" xfId="68" applyFont="1" applyBorder="1" applyAlignment="1">
      <alignment horizontal="center"/>
    </xf>
    <xf numFmtId="177" fontId="22" fillId="0" borderId="10" xfId="68" applyFont="1" applyBorder="1" applyAlignment="1">
      <alignment horizontal="center"/>
    </xf>
    <xf numFmtId="2" fontId="22" fillId="24" borderId="0" xfId="68" applyNumberFormat="1" applyFont="1" applyFill="1" applyBorder="1" applyAlignment="1">
      <alignment horizontal="center"/>
    </xf>
    <xf numFmtId="2" fontId="22" fillId="24" borderId="27" xfId="68" applyNumberFormat="1" applyFont="1" applyFill="1" applyBorder="1" applyAlignment="1">
      <alignment horizontal="center"/>
    </xf>
    <xf numFmtId="2" fontId="22" fillId="0" borderId="16" xfId="68" applyNumberFormat="1" applyFont="1" applyBorder="1" applyAlignment="1">
      <alignment horizontal="center"/>
    </xf>
    <xf numFmtId="2" fontId="23" fillId="0" borderId="23" xfId="68" applyNumberFormat="1" applyFont="1" applyFill="1" applyBorder="1" applyAlignment="1">
      <alignment horizontal="center"/>
    </xf>
    <xf numFmtId="2" fontId="23" fillId="0" borderId="17" xfId="68" applyNumberFormat="1" applyFont="1" applyFill="1" applyBorder="1" applyAlignment="1">
      <alignment horizontal="center"/>
    </xf>
    <xf numFmtId="2" fontId="23" fillId="0" borderId="16" xfId="68" applyNumberFormat="1" applyFont="1" applyFill="1" applyBorder="1" applyAlignment="1">
      <alignment horizontal="center"/>
    </xf>
    <xf numFmtId="2" fontId="23" fillId="0" borderId="11" xfId="68" applyNumberFormat="1" applyFont="1" applyBorder="1" applyAlignment="1">
      <alignment horizontal="center"/>
    </xf>
    <xf numFmtId="2" fontId="23" fillId="0" borderId="15" xfId="68" applyNumberFormat="1" applyFont="1" applyBorder="1" applyAlignment="1">
      <alignment horizontal="center"/>
    </xf>
    <xf numFmtId="2" fontId="22" fillId="0" borderId="15" xfId="68" applyNumberFormat="1" applyFont="1" applyBorder="1" applyAlignment="1">
      <alignment horizontal="center"/>
    </xf>
    <xf numFmtId="2" fontId="22" fillId="0" borderId="17" xfId="68" applyNumberFormat="1" applyFont="1" applyBorder="1" applyAlignment="1">
      <alignment horizontal="center"/>
    </xf>
    <xf numFmtId="2" fontId="23" fillId="0" borderId="14" xfId="68" applyNumberFormat="1" applyFont="1" applyBorder="1" applyAlignment="1">
      <alignment horizontal="center"/>
    </xf>
    <xf numFmtId="2" fontId="22" fillId="0" borderId="21" xfId="68" applyNumberFormat="1" applyFont="1" applyBorder="1" applyAlignment="1">
      <alignment horizontal="center"/>
    </xf>
    <xf numFmtId="2" fontId="23" fillId="0" borderId="0" xfId="68" applyNumberFormat="1" applyFont="1" applyAlignment="1">
      <alignment horizontal="center"/>
    </xf>
    <xf numFmtId="0" fontId="0" fillId="0" borderId="30" xfId="50" applyFont="1" applyFill="1" applyBorder="1" applyAlignment="1">
      <alignment horizontal="center"/>
      <protection/>
    </xf>
    <xf numFmtId="177" fontId="0" fillId="0" borderId="30" xfId="69" applyFont="1" applyFill="1" applyBorder="1" applyAlignment="1">
      <alignment horizontal="left" wrapText="1"/>
    </xf>
    <xf numFmtId="0" fontId="31" fillId="17" borderId="23" xfId="0" applyFont="1" applyFill="1" applyBorder="1" applyAlignment="1">
      <alignment horizontal="center"/>
    </xf>
    <xf numFmtId="177" fontId="23" fillId="0" borderId="18" xfId="68" applyFont="1" applyBorder="1" applyAlignment="1">
      <alignment horizontal="center" wrapText="1"/>
    </xf>
    <xf numFmtId="177" fontId="22" fillId="0" borderId="17" xfId="68" applyFont="1" applyBorder="1" applyAlignment="1">
      <alignment horizontal="center" wrapText="1"/>
    </xf>
    <xf numFmtId="205" fontId="28" fillId="0" borderId="25" xfId="68" applyNumberFormat="1" applyFont="1" applyFill="1" applyBorder="1" applyAlignment="1">
      <alignment vertical="center"/>
    </xf>
    <xf numFmtId="205" fontId="28" fillId="0" borderId="0" xfId="68" applyNumberFormat="1" applyFont="1" applyFill="1" applyBorder="1" applyAlignment="1">
      <alignment vertical="center"/>
    </xf>
    <xf numFmtId="177" fontId="23" fillId="0" borderId="18" xfId="68" applyFont="1" applyFill="1" applyBorder="1" applyAlignment="1">
      <alignment horizontal="left" wrapText="1"/>
    </xf>
    <xf numFmtId="177" fontId="23" fillId="0" borderId="18" xfId="68" applyFont="1" applyFill="1" applyBorder="1" applyAlignment="1">
      <alignment horizontal="center"/>
    </xf>
    <xf numFmtId="2" fontId="23" fillId="0" borderId="15" xfId="68" applyNumberFormat="1" applyFont="1" applyFill="1" applyBorder="1" applyAlignment="1">
      <alignment horizontal="center"/>
    </xf>
    <xf numFmtId="205" fontId="22" fillId="0" borderId="15" xfId="68" applyNumberFormat="1" applyFont="1" applyFill="1" applyBorder="1" applyAlignment="1">
      <alignment horizontal="center"/>
    </xf>
    <xf numFmtId="177" fontId="23" fillId="0" borderId="16" xfId="68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77" fontId="22" fillId="0" borderId="16" xfId="68" applyFont="1" applyFill="1" applyBorder="1" applyAlignment="1">
      <alignment horizontal="center"/>
    </xf>
    <xf numFmtId="10" fontId="21" fillId="24" borderId="0" xfId="68" applyNumberFormat="1" applyFont="1" applyFill="1" applyBorder="1" applyAlignment="1">
      <alignment horizontal="center"/>
    </xf>
    <xf numFmtId="0" fontId="0" fillId="0" borderId="0" xfId="50" applyFont="1" applyFill="1" applyBorder="1" applyAlignment="1">
      <alignment horizontal="center"/>
      <protection/>
    </xf>
    <xf numFmtId="177" fontId="0" fillId="0" borderId="0" xfId="69" applyFont="1" applyFill="1" applyBorder="1" applyAlignment="1">
      <alignment horizontal="left" wrapText="1"/>
    </xf>
    <xf numFmtId="43" fontId="3" fillId="0" borderId="23" xfId="68" applyNumberFormat="1" applyFont="1" applyFill="1" applyBorder="1" applyAlignment="1">
      <alignment horizontal="left" wrapText="1"/>
    </xf>
    <xf numFmtId="177" fontId="23" fillId="0" borderId="31" xfId="68" applyFont="1" applyBorder="1" applyAlignment="1">
      <alignment horizontal="center" wrapText="1"/>
    </xf>
    <xf numFmtId="177" fontId="23" fillId="0" borderId="10" xfId="68" applyFont="1" applyBorder="1" applyAlignment="1">
      <alignment horizontal="center" wrapText="1"/>
    </xf>
    <xf numFmtId="177" fontId="39" fillId="0" borderId="32" xfId="68" applyFont="1" applyBorder="1" applyAlignment="1">
      <alignment horizontal="center" wrapText="1"/>
    </xf>
    <xf numFmtId="177" fontId="0" fillId="0" borderId="33" xfId="69" applyFont="1" applyFill="1" applyBorder="1" applyAlignment="1">
      <alignment horizontal="left" wrapText="1"/>
    </xf>
    <xf numFmtId="0" fontId="23" fillId="0" borderId="0" xfId="0" applyFont="1" applyFill="1" applyBorder="1" applyAlignment="1">
      <alignment/>
    </xf>
    <xf numFmtId="205" fontId="23" fillId="0" borderId="34" xfId="68" applyNumberFormat="1" applyFont="1" applyFill="1" applyBorder="1" applyAlignment="1">
      <alignment horizontal="center"/>
    </xf>
    <xf numFmtId="177" fontId="38" fillId="0" borderId="34" xfId="68" applyFont="1" applyBorder="1" applyAlignment="1">
      <alignment horizontal="center" wrapText="1"/>
    </xf>
    <xf numFmtId="0" fontId="23" fillId="0" borderId="0" xfId="0" applyFont="1" applyBorder="1" applyAlignment="1">
      <alignment/>
    </xf>
    <xf numFmtId="205" fontId="23" fillId="0" borderId="0" xfId="68" applyNumberFormat="1" applyFont="1" applyFill="1" applyBorder="1" applyAlignment="1">
      <alignment horizontal="center"/>
    </xf>
    <xf numFmtId="205" fontId="22" fillId="0" borderId="0" xfId="68" applyNumberFormat="1" applyFont="1" applyBorder="1" applyAlignment="1">
      <alignment horizontal="center"/>
    </xf>
    <xf numFmtId="177" fontId="23" fillId="0" borderId="0" xfId="68" applyFont="1" applyBorder="1" applyAlignment="1">
      <alignment horizontal="center" wrapText="1"/>
    </xf>
    <xf numFmtId="177" fontId="23" fillId="0" borderId="34" xfId="68" applyFont="1" applyBorder="1" applyAlignment="1">
      <alignment horizontal="center" wrapText="1"/>
    </xf>
    <xf numFmtId="177" fontId="22" fillId="0" borderId="31" xfId="68" applyFont="1" applyBorder="1" applyAlignment="1">
      <alignment horizontal="center"/>
    </xf>
    <xf numFmtId="177" fontId="22" fillId="0" borderId="34" xfId="68" applyFont="1" applyBorder="1" applyAlignment="1">
      <alignment horizontal="center"/>
    </xf>
    <xf numFmtId="177" fontId="39" fillId="14" borderId="32" xfId="68" applyFont="1" applyFill="1" applyBorder="1" applyAlignment="1">
      <alignment horizontal="center" wrapText="1"/>
    </xf>
    <xf numFmtId="205" fontId="22" fillId="0" borderId="0" xfId="68" applyNumberFormat="1" applyFont="1" applyFill="1" applyBorder="1" applyAlignment="1">
      <alignment horizontal="center"/>
    </xf>
    <xf numFmtId="177" fontId="23" fillId="0" borderId="0" xfId="68" applyFont="1" applyFill="1" applyBorder="1" applyAlignment="1">
      <alignment horizontal="center" wrapText="1"/>
    </xf>
    <xf numFmtId="177" fontId="38" fillId="0" borderId="32" xfId="68" applyFont="1" applyBorder="1" applyAlignment="1">
      <alignment horizontal="center" wrapText="1"/>
    </xf>
    <xf numFmtId="177" fontId="23" fillId="0" borderId="35" xfId="68" applyFont="1" applyBorder="1" applyAlignment="1">
      <alignment horizontal="center" wrapText="1"/>
    </xf>
    <xf numFmtId="177" fontId="23" fillId="0" borderId="36" xfId="68" applyFont="1" applyBorder="1" applyAlignment="1">
      <alignment horizontal="center" wrapText="1"/>
    </xf>
    <xf numFmtId="177" fontId="23" fillId="0" borderId="37" xfId="68" applyFont="1" applyBorder="1" applyAlignment="1">
      <alignment horizontal="center" wrapText="1"/>
    </xf>
    <xf numFmtId="0" fontId="23" fillId="25" borderId="0" xfId="0" applyFont="1" applyFill="1" applyAlignment="1">
      <alignment/>
    </xf>
    <xf numFmtId="205" fontId="23" fillId="0" borderId="11" xfId="68" applyNumberFormat="1" applyFont="1" applyFill="1" applyBorder="1" applyAlignment="1">
      <alignment horizontal="center"/>
    </xf>
    <xf numFmtId="205" fontId="21" fillId="0" borderId="14" xfId="68" applyNumberFormat="1" applyFont="1" applyBorder="1" applyAlignment="1">
      <alignment horizontal="center"/>
    </xf>
    <xf numFmtId="177" fontId="39" fillId="0" borderId="14" xfId="68" applyFont="1" applyBorder="1" applyAlignment="1">
      <alignment horizontal="center" wrapText="1"/>
    </xf>
    <xf numFmtId="177" fontId="23" fillId="0" borderId="16" xfId="68" applyFont="1" applyFill="1" applyBorder="1" applyAlignment="1">
      <alignment wrapText="1"/>
    </xf>
    <xf numFmtId="43" fontId="23" fillId="0" borderId="12" xfId="68" applyNumberFormat="1" applyFont="1" applyFill="1" applyBorder="1" applyAlignment="1">
      <alignment horizontal="center"/>
    </xf>
    <xf numFmtId="2" fontId="23" fillId="0" borderId="11" xfId="68" applyNumberFormat="1" applyFont="1" applyFill="1" applyBorder="1" applyAlignment="1">
      <alignment horizontal="center"/>
    </xf>
    <xf numFmtId="177" fontId="22" fillId="0" borderId="10" xfId="68" applyFont="1" applyFill="1" applyBorder="1" applyAlignment="1">
      <alignment horizontal="center"/>
    </xf>
    <xf numFmtId="177" fontId="22" fillId="0" borderId="0" xfId="68" applyFont="1" applyFill="1" applyBorder="1" applyAlignment="1">
      <alignment horizontal="left" wrapText="1"/>
    </xf>
    <xf numFmtId="177" fontId="23" fillId="0" borderId="0" xfId="68" applyFont="1" applyFill="1" applyBorder="1" applyAlignment="1">
      <alignment horizontal="center"/>
    </xf>
    <xf numFmtId="205" fontId="22" fillId="0" borderId="11" xfId="68" applyNumberFormat="1" applyFont="1" applyFill="1" applyBorder="1" applyAlignment="1">
      <alignment horizontal="center"/>
    </xf>
    <xf numFmtId="177" fontId="23" fillId="0" borderId="11" xfId="68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177" fontId="23" fillId="0" borderId="15" xfId="68" applyFont="1" applyFill="1" applyBorder="1" applyAlignment="1">
      <alignment horizontal="center"/>
    </xf>
    <xf numFmtId="177" fontId="23" fillId="0" borderId="17" xfId="68" applyFont="1" applyFill="1" applyBorder="1" applyAlignment="1">
      <alignment wrapText="1"/>
    </xf>
    <xf numFmtId="0" fontId="3" fillId="0" borderId="28" xfId="0" applyFont="1" applyFill="1" applyBorder="1" applyAlignment="1">
      <alignment horizontal="center"/>
    </xf>
    <xf numFmtId="43" fontId="3" fillId="0" borderId="28" xfId="68" applyNumberFormat="1" applyFont="1" applyFill="1" applyBorder="1" applyAlignment="1">
      <alignment wrapText="1"/>
    </xf>
    <xf numFmtId="43" fontId="23" fillId="0" borderId="28" xfId="68" applyNumberFormat="1" applyFont="1" applyFill="1" applyBorder="1" applyAlignment="1">
      <alignment horizontal="center"/>
    </xf>
    <xf numFmtId="2" fontId="23" fillId="0" borderId="28" xfId="68" applyNumberFormat="1" applyFont="1" applyFill="1" applyBorder="1" applyAlignment="1">
      <alignment horizontal="center"/>
    </xf>
    <xf numFmtId="205" fontId="23" fillId="0" borderId="38" xfId="68" applyNumberFormat="1" applyFont="1" applyBorder="1" applyAlignment="1">
      <alignment horizontal="center"/>
    </xf>
    <xf numFmtId="205" fontId="22" fillId="0" borderId="28" xfId="68" applyNumberFormat="1" applyFont="1" applyBorder="1" applyAlignment="1">
      <alignment horizontal="center"/>
    </xf>
    <xf numFmtId="177" fontId="38" fillId="0" borderId="28" xfId="68" applyFont="1" applyBorder="1" applyAlignment="1">
      <alignment horizontal="center" wrapText="1"/>
    </xf>
    <xf numFmtId="0" fontId="23" fillId="0" borderId="30" xfId="0" applyFont="1" applyBorder="1" applyAlignment="1">
      <alignment horizontal="center"/>
    </xf>
    <xf numFmtId="177" fontId="23" fillId="0" borderId="30" xfId="68" applyFont="1" applyBorder="1" applyAlignment="1">
      <alignment horizontal="left" wrapText="1"/>
    </xf>
    <xf numFmtId="177" fontId="23" fillId="0" borderId="30" xfId="68" applyFont="1" applyBorder="1" applyAlignment="1">
      <alignment horizontal="center"/>
    </xf>
    <xf numFmtId="2" fontId="23" fillId="0" borderId="30" xfId="68" applyNumberFormat="1" applyFont="1" applyFill="1" applyBorder="1" applyAlignment="1">
      <alignment horizontal="center"/>
    </xf>
    <xf numFmtId="205" fontId="23" fillId="0" borderId="30" xfId="68" applyNumberFormat="1" applyFont="1" applyFill="1" applyBorder="1" applyAlignment="1">
      <alignment horizontal="center"/>
    </xf>
    <xf numFmtId="205" fontId="22" fillId="0" borderId="30" xfId="68" applyNumberFormat="1" applyFont="1" applyBorder="1" applyAlignment="1">
      <alignment horizontal="center"/>
    </xf>
    <xf numFmtId="177" fontId="23" fillId="0" borderId="30" xfId="68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/>
    </xf>
    <xf numFmtId="177" fontId="23" fillId="0" borderId="30" xfId="68" applyFont="1" applyFill="1" applyBorder="1" applyAlignment="1">
      <alignment horizontal="left" wrapText="1"/>
    </xf>
    <xf numFmtId="177" fontId="23" fillId="0" borderId="30" xfId="68" applyFont="1" applyFill="1" applyBorder="1" applyAlignment="1">
      <alignment horizontal="center"/>
    </xf>
    <xf numFmtId="205" fontId="22" fillId="0" borderId="30" xfId="68" applyNumberFormat="1" applyFont="1" applyFill="1" applyBorder="1" applyAlignment="1">
      <alignment horizontal="center"/>
    </xf>
    <xf numFmtId="177" fontId="39" fillId="0" borderId="26" xfId="68" applyFont="1" applyBorder="1" applyAlignment="1">
      <alignment horizontal="center" wrapText="1"/>
    </xf>
    <xf numFmtId="177" fontId="23" fillId="0" borderId="30" xfId="68" applyFont="1" applyBorder="1" applyAlignment="1">
      <alignment wrapText="1"/>
    </xf>
    <xf numFmtId="177" fontId="23" fillId="0" borderId="30" xfId="68" applyFont="1" applyBorder="1" applyAlignment="1">
      <alignment horizontal="center" wrapText="1"/>
    </xf>
    <xf numFmtId="205" fontId="21" fillId="0" borderId="23" xfId="68" applyNumberFormat="1" applyFont="1" applyFill="1" applyBorder="1" applyAlignment="1">
      <alignment horizontal="center"/>
    </xf>
    <xf numFmtId="2" fontId="23" fillId="0" borderId="16" xfId="70" applyNumberFormat="1" applyFont="1" applyFill="1" applyBorder="1" applyAlignment="1">
      <alignment horizontal="center"/>
    </xf>
    <xf numFmtId="2" fontId="23" fillId="0" borderId="15" xfId="70" applyNumberFormat="1" applyFont="1" applyBorder="1" applyAlignment="1">
      <alignment horizontal="center"/>
    </xf>
    <xf numFmtId="2" fontId="23" fillId="0" borderId="16" xfId="70" applyNumberFormat="1" applyFont="1" applyBorder="1" applyAlignment="1">
      <alignment horizontal="center"/>
    </xf>
    <xf numFmtId="205" fontId="32" fillId="24" borderId="0" xfId="68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205" fontId="23" fillId="0" borderId="23" xfId="68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177" fontId="23" fillId="0" borderId="23" xfId="69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/>
    </xf>
    <xf numFmtId="177" fontId="23" fillId="0" borderId="23" xfId="68" applyFont="1" applyFill="1" applyBorder="1" applyAlignment="1">
      <alignment horizontal="center" vertical="center"/>
    </xf>
    <xf numFmtId="2" fontId="23" fillId="0" borderId="23" xfId="68" applyNumberFormat="1" applyFont="1" applyFill="1" applyBorder="1" applyAlignment="1">
      <alignment horizontal="center" vertical="center"/>
    </xf>
    <xf numFmtId="205" fontId="23" fillId="0" borderId="23" xfId="68" applyNumberFormat="1" applyFont="1" applyFill="1" applyBorder="1" applyAlignment="1">
      <alignment horizontal="center" vertical="center"/>
    </xf>
    <xf numFmtId="2" fontId="22" fillId="24" borderId="0" xfId="68" applyNumberFormat="1" applyFont="1" applyFill="1" applyBorder="1" applyAlignment="1">
      <alignment horizontal="center" vertical="center"/>
    </xf>
    <xf numFmtId="2" fontId="22" fillId="24" borderId="27" xfId="68" applyNumberFormat="1" applyFont="1" applyFill="1" applyBorder="1" applyAlignment="1">
      <alignment horizontal="center" vertical="center"/>
    </xf>
    <xf numFmtId="2" fontId="23" fillId="0" borderId="0" xfId="68" applyNumberFormat="1" applyFont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32" fillId="24" borderId="14" xfId="0" applyFont="1" applyFill="1" applyBorder="1" applyAlignment="1">
      <alignment horizontal="center"/>
    </xf>
    <xf numFmtId="177" fontId="32" fillId="24" borderId="13" xfId="68" applyFont="1" applyFill="1" applyBorder="1" applyAlignment="1">
      <alignment horizontal="center" wrapText="1"/>
    </xf>
    <xf numFmtId="177" fontId="32" fillId="24" borderId="13" xfId="68" applyFont="1" applyFill="1" applyBorder="1" applyAlignment="1">
      <alignment horizontal="center"/>
    </xf>
    <xf numFmtId="0" fontId="35" fillId="0" borderId="0" xfId="0" applyFont="1" applyAlignment="1">
      <alignment/>
    </xf>
    <xf numFmtId="177" fontId="31" fillId="2" borderId="23" xfId="69" applyFont="1" applyFill="1" applyBorder="1" applyAlignment="1">
      <alignment horizontal="center" wrapText="1"/>
    </xf>
    <xf numFmtId="43" fontId="40" fillId="0" borderId="23" xfId="68" applyNumberFormat="1" applyFont="1" applyFill="1" applyBorder="1" applyAlignment="1">
      <alignment wrapText="1"/>
    </xf>
    <xf numFmtId="177" fontId="41" fillId="14" borderId="23" xfId="68" applyFont="1" applyFill="1" applyBorder="1" applyAlignment="1">
      <alignment horizontal="center" wrapText="1"/>
    </xf>
    <xf numFmtId="0" fontId="37" fillId="0" borderId="0" xfId="0" applyFont="1" applyAlignment="1">
      <alignment/>
    </xf>
    <xf numFmtId="177" fontId="22" fillId="0" borderId="23" xfId="68" applyFont="1" applyFill="1" applyBorder="1" applyAlignment="1">
      <alignment horizontal="left" vertical="top" wrapText="1"/>
    </xf>
    <xf numFmtId="0" fontId="34" fillId="0" borderId="0" xfId="0" applyFont="1" applyBorder="1" applyAlignment="1">
      <alignment/>
    </xf>
    <xf numFmtId="177" fontId="41" fillId="25" borderId="23" xfId="68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177" fontId="38" fillId="24" borderId="12" xfId="68" applyFont="1" applyFill="1" applyBorder="1" applyAlignment="1">
      <alignment wrapText="1"/>
    </xf>
    <xf numFmtId="0" fontId="38" fillId="0" borderId="12" xfId="0" applyFont="1" applyBorder="1" applyAlignment="1">
      <alignment wrapText="1"/>
    </xf>
    <xf numFmtId="177" fontId="38" fillId="24" borderId="13" xfId="68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3" fillId="0" borderId="32" xfId="0" applyFont="1" applyBorder="1" applyAlignment="1">
      <alignment horizontal="center"/>
    </xf>
    <xf numFmtId="177" fontId="23" fillId="0" borderId="39" xfId="68" applyFont="1" applyBorder="1" applyAlignment="1">
      <alignment wrapText="1"/>
    </xf>
    <xf numFmtId="177" fontId="23" fillId="0" borderId="39" xfId="68" applyFont="1" applyBorder="1" applyAlignment="1">
      <alignment horizontal="center"/>
    </xf>
    <xf numFmtId="2" fontId="23" fillId="0" borderId="39" xfId="68" applyNumberFormat="1" applyFont="1" applyBorder="1" applyAlignment="1">
      <alignment horizontal="center" vertical="center"/>
    </xf>
    <xf numFmtId="205" fontId="23" fillId="0" borderId="29" xfId="68" applyNumberFormat="1" applyFont="1" applyFill="1" applyBorder="1" applyAlignment="1">
      <alignment horizontal="center"/>
    </xf>
    <xf numFmtId="0" fontId="44" fillId="0" borderId="0" xfId="51" applyFont="1" applyBorder="1" applyAlignment="1" applyProtection="1">
      <alignment horizontal="left" vertical="center"/>
      <protection/>
    </xf>
    <xf numFmtId="0" fontId="44" fillId="0" borderId="0" xfId="51" applyFont="1" applyAlignment="1" applyProtection="1">
      <alignment vertical="center"/>
      <protection/>
    </xf>
    <xf numFmtId="0" fontId="44" fillId="0" borderId="0" xfId="51" applyFont="1" applyBorder="1" applyAlignment="1" applyProtection="1">
      <alignment vertical="center"/>
      <protection/>
    </xf>
    <xf numFmtId="4" fontId="45" fillId="0" borderId="0" xfId="51" applyNumberFormat="1" applyFont="1" applyAlignment="1" applyProtection="1">
      <alignment vertical="center"/>
      <protection/>
    </xf>
    <xf numFmtId="4" fontId="45" fillId="0" borderId="0" xfId="51" applyNumberFormat="1" applyFont="1" applyBorder="1" applyAlignment="1" applyProtection="1">
      <alignment vertical="center"/>
      <protection/>
    </xf>
    <xf numFmtId="0" fontId="46" fillId="0" borderId="10" xfId="51" applyFont="1" applyFill="1" applyBorder="1" applyAlignment="1" applyProtection="1">
      <alignment horizontal="left" vertical="center"/>
      <protection/>
    </xf>
    <xf numFmtId="0" fontId="46" fillId="0" borderId="0" xfId="51" applyFont="1" applyFill="1" applyBorder="1" applyAlignment="1" applyProtection="1">
      <alignment horizontal="left" vertical="center"/>
      <protection/>
    </xf>
    <xf numFmtId="0" fontId="44" fillId="0" borderId="0" xfId="51" applyFont="1" applyFill="1" applyBorder="1" applyAlignment="1" applyProtection="1">
      <alignment horizontal="centerContinuous" vertical="center"/>
      <protection/>
    </xf>
    <xf numFmtId="0" fontId="44" fillId="0" borderId="0" xfId="51" applyFont="1" applyFill="1" applyBorder="1" applyAlignment="1" applyProtection="1">
      <alignment vertical="center"/>
      <protection/>
    </xf>
    <xf numFmtId="0" fontId="44" fillId="0" borderId="12" xfId="51" applyFont="1" applyBorder="1" applyAlignment="1" applyProtection="1">
      <alignment vertical="center"/>
      <protection/>
    </xf>
    <xf numFmtId="0" fontId="44" fillId="0" borderId="10" xfId="51" applyFont="1" applyBorder="1" applyAlignment="1" applyProtection="1">
      <alignment horizontal="left" vertical="center"/>
      <protection/>
    </xf>
    <xf numFmtId="0" fontId="44" fillId="0" borderId="40" xfId="51" applyFont="1" applyBorder="1" applyAlignment="1" applyProtection="1">
      <alignment horizontal="left" vertical="center"/>
      <protection/>
    </xf>
    <xf numFmtId="4" fontId="45" fillId="0" borderId="0" xfId="51" applyNumberFormat="1" applyFont="1" applyFill="1" applyBorder="1" applyAlignment="1" applyProtection="1">
      <alignment vertical="center"/>
      <protection/>
    </xf>
    <xf numFmtId="0" fontId="44" fillId="0" borderId="35" xfId="51" applyFont="1" applyBorder="1" applyAlignment="1" applyProtection="1">
      <alignment horizontal="left" vertical="center"/>
      <protection/>
    </xf>
    <xf numFmtId="0" fontId="44" fillId="0" borderId="41" xfId="51" applyFont="1" applyBorder="1" applyAlignment="1" applyProtection="1">
      <alignment horizontal="left" vertical="center"/>
      <protection/>
    </xf>
    <xf numFmtId="0" fontId="44" fillId="0" borderId="41" xfId="51" applyFont="1" applyBorder="1" applyAlignment="1" applyProtection="1">
      <alignment vertical="center"/>
      <protection/>
    </xf>
    <xf numFmtId="0" fontId="44" fillId="0" borderId="42" xfId="51" applyFont="1" applyBorder="1" applyAlignment="1" applyProtection="1">
      <alignment vertical="center"/>
      <protection/>
    </xf>
    <xf numFmtId="4" fontId="47" fillId="0" borderId="0" xfId="51" applyNumberFormat="1" applyFont="1" applyBorder="1" applyAlignment="1" applyProtection="1">
      <alignment vertical="center"/>
      <protection/>
    </xf>
    <xf numFmtId="0" fontId="44" fillId="0" borderId="0" xfId="51" applyFont="1" applyBorder="1" applyAlignment="1" applyProtection="1">
      <alignment horizontal="centerContinuous" vertical="center"/>
      <protection/>
    </xf>
    <xf numFmtId="0" fontId="44" fillId="0" borderId="37" xfId="51" applyFont="1" applyFill="1" applyBorder="1" applyAlignment="1" applyProtection="1">
      <alignment horizontal="left" vertical="center"/>
      <protection/>
    </xf>
    <xf numFmtId="0" fontId="44" fillId="0" borderId="43" xfId="51" applyFont="1" applyFill="1" applyBorder="1" applyAlignment="1" applyProtection="1">
      <alignment horizontal="left" vertical="center"/>
      <protection/>
    </xf>
    <xf numFmtId="0" fontId="44" fillId="0" borderId="43" xfId="51" applyFont="1" applyFill="1" applyBorder="1" applyAlignment="1" applyProtection="1">
      <alignment vertical="center"/>
      <protection/>
    </xf>
    <xf numFmtId="0" fontId="44" fillId="0" borderId="44" xfId="51" applyFont="1" applyFill="1" applyBorder="1" applyAlignment="1" applyProtection="1">
      <alignment vertical="center"/>
      <protection/>
    </xf>
    <xf numFmtId="0" fontId="46" fillId="0" borderId="30" xfId="51" applyFont="1" applyFill="1" applyBorder="1" applyAlignment="1" applyProtection="1">
      <alignment horizontal="center" vertical="center"/>
      <protection/>
    </xf>
    <xf numFmtId="10" fontId="44" fillId="0" borderId="30" xfId="51" applyNumberFormat="1" applyFont="1" applyBorder="1" applyAlignment="1" applyProtection="1">
      <alignment vertical="center"/>
      <protection/>
    </xf>
    <xf numFmtId="0" fontId="44" fillId="0" borderId="30" xfId="51" applyFont="1" applyBorder="1" applyAlignment="1" applyProtection="1">
      <alignment horizontal="center" vertical="center"/>
      <protection/>
    </xf>
    <xf numFmtId="0" fontId="46" fillId="0" borderId="0" xfId="51" applyFont="1" applyFill="1" applyBorder="1" applyAlignment="1" applyProtection="1">
      <alignment horizontal="center" vertical="center"/>
      <protection/>
    </xf>
    <xf numFmtId="10" fontId="44" fillId="0" borderId="0" xfId="54" applyNumberFormat="1" applyFont="1" applyFill="1" applyBorder="1" applyAlignment="1" applyProtection="1">
      <alignment horizontal="right" vertical="center"/>
      <protection locked="0"/>
    </xf>
    <xf numFmtId="0" fontId="44" fillId="0" borderId="0" xfId="51" applyFont="1" applyBorder="1" applyAlignment="1" applyProtection="1">
      <alignment horizontal="center" vertical="center" wrapText="1"/>
      <protection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49" fontId="0" fillId="0" borderId="0" xfId="51" applyNumberFormat="1" applyFont="1" applyFill="1" applyBorder="1" applyAlignment="1" applyProtection="1">
      <alignment horizontal="center" vertical="center"/>
      <protection locked="0"/>
    </xf>
    <xf numFmtId="0" fontId="48" fillId="0" borderId="0" xfId="51" applyFont="1" applyFill="1" applyBorder="1" applyAlignment="1" applyProtection="1">
      <alignment horizontal="left" vertical="center"/>
      <protection locked="0"/>
    </xf>
    <xf numFmtId="4" fontId="49" fillId="0" borderId="0" xfId="51" applyNumberFormat="1" applyFont="1" applyFill="1" applyBorder="1" applyAlignment="1" applyProtection="1">
      <alignment horizontal="right" vertical="center"/>
      <protection locked="0"/>
    </xf>
    <xf numFmtId="177" fontId="49" fillId="0" borderId="0" xfId="68" applyFont="1" applyFill="1" applyBorder="1" applyAlignment="1" applyProtection="1">
      <alignment horizontal="right" vertical="center"/>
      <protection locked="0"/>
    </xf>
    <xf numFmtId="177" fontId="49" fillId="0" borderId="0" xfId="68" applyFont="1" applyFill="1" applyBorder="1" applyAlignment="1" applyProtection="1">
      <alignment horizontal="right" vertical="center"/>
      <protection/>
    </xf>
    <xf numFmtId="0" fontId="0" fillId="0" borderId="0" xfId="51" applyFont="1" applyFill="1" applyBorder="1" applyAlignment="1" applyProtection="1">
      <alignment vertical="center"/>
      <protection locked="0"/>
    </xf>
    <xf numFmtId="49" fontId="0" fillId="0" borderId="0" xfId="51" applyNumberFormat="1" applyFont="1" applyFill="1" applyBorder="1" applyAlignment="1" applyProtection="1">
      <alignment vertical="center"/>
      <protection locked="0"/>
    </xf>
    <xf numFmtId="4" fontId="0" fillId="0" borderId="0" xfId="51" applyNumberFormat="1" applyFont="1" applyFill="1" applyBorder="1" applyAlignment="1" applyProtection="1">
      <alignment vertical="center"/>
      <protection locked="0"/>
    </xf>
    <xf numFmtId="177" fontId="0" fillId="0" borderId="0" xfId="68" applyFont="1" applyFill="1" applyBorder="1" applyAlignment="1" applyProtection="1">
      <alignment vertical="center"/>
      <protection locked="0"/>
    </xf>
    <xf numFmtId="177" fontId="0" fillId="0" borderId="0" xfId="68" applyFont="1" applyFill="1" applyBorder="1" applyAlignment="1" applyProtection="1">
      <alignment vertical="center"/>
      <protection/>
    </xf>
    <xf numFmtId="177" fontId="0" fillId="0" borderId="0" xfId="68" applyFont="1" applyFill="1" applyBorder="1" applyAlignment="1" applyProtection="1">
      <alignment horizontal="right" vertical="center"/>
      <protection/>
    </xf>
    <xf numFmtId="0" fontId="0" fillId="0" borderId="0" xfId="51" applyFont="1" applyFill="1" applyBorder="1" applyAlignment="1" applyProtection="1">
      <alignment horizontal="left" vertical="center"/>
      <protection locked="0"/>
    </xf>
    <xf numFmtId="0" fontId="44" fillId="26" borderId="0" xfId="0" applyFont="1" applyFill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51" applyFont="1" applyFill="1" applyBorder="1" applyAlignment="1" applyProtection="1">
      <alignment horizontal="left" vertical="center"/>
      <protection locked="0"/>
    </xf>
    <xf numFmtId="4" fontId="0" fillId="0" borderId="0" xfId="51" applyNumberFormat="1" applyFont="1" applyFill="1" applyBorder="1" applyAlignment="1" applyProtection="1">
      <alignment horizontal="right" vertical="center"/>
      <protection locked="0"/>
    </xf>
    <xf numFmtId="177" fontId="0" fillId="0" borderId="0" xfId="68" applyFont="1" applyFill="1" applyBorder="1" applyAlignment="1" applyProtection="1">
      <alignment horizontal="right" vertical="center"/>
      <protection locked="0"/>
    </xf>
    <xf numFmtId="0" fontId="48" fillId="0" borderId="0" xfId="51" applyFont="1" applyFill="1" applyBorder="1" applyAlignment="1">
      <alignment wrapText="1"/>
      <protection/>
    </xf>
    <xf numFmtId="0" fontId="48" fillId="0" borderId="0" xfId="51" applyNumberFormat="1" applyFont="1" applyFill="1" applyBorder="1" applyAlignment="1" applyProtection="1">
      <alignment horizontal="center" vertical="center"/>
      <protection locked="0"/>
    </xf>
    <xf numFmtId="49" fontId="51" fillId="0" borderId="0" xfId="51" applyNumberFormat="1" applyFont="1" applyBorder="1" applyAlignment="1">
      <alignment horizontal="center" vertical="center" wrapText="1"/>
      <protection/>
    </xf>
    <xf numFmtId="0" fontId="0" fillId="0" borderId="0" xfId="51" applyFont="1" applyFill="1" applyBorder="1" applyAlignment="1" applyProtection="1">
      <alignment vertical="center" wrapText="1"/>
      <protection locked="0"/>
    </xf>
    <xf numFmtId="177" fontId="21" fillId="0" borderId="32" xfId="68" applyFont="1" applyBorder="1" applyAlignment="1">
      <alignment horizontal="center"/>
    </xf>
    <xf numFmtId="177" fontId="21" fillId="0" borderId="39" xfId="68" applyFont="1" applyBorder="1" applyAlignment="1">
      <alignment horizontal="center"/>
    </xf>
    <xf numFmtId="177" fontId="21" fillId="0" borderId="29" xfId="68" applyFont="1" applyBorder="1" applyAlignment="1">
      <alignment horizontal="center"/>
    </xf>
    <xf numFmtId="205" fontId="21" fillId="0" borderId="32" xfId="68" applyNumberFormat="1" applyFont="1" applyBorder="1" applyAlignment="1">
      <alignment horizontal="center"/>
    </xf>
    <xf numFmtId="205" fontId="21" fillId="0" borderId="29" xfId="68" applyNumberFormat="1" applyFont="1" applyBorder="1" applyAlignment="1">
      <alignment horizontal="center"/>
    </xf>
    <xf numFmtId="205" fontId="42" fillId="2" borderId="25" xfId="68" applyNumberFormat="1" applyFont="1" applyFill="1" applyBorder="1" applyAlignment="1">
      <alignment horizontal="center" vertical="center"/>
    </xf>
    <xf numFmtId="205" fontId="42" fillId="2" borderId="0" xfId="68" applyNumberFormat="1" applyFont="1" applyFill="1" applyBorder="1" applyAlignment="1">
      <alignment horizontal="center" vertical="center"/>
    </xf>
    <xf numFmtId="177" fontId="33" fillId="24" borderId="10" xfId="68" applyNumberFormat="1" applyFont="1" applyFill="1" applyBorder="1" applyAlignment="1">
      <alignment horizontal="center"/>
    </xf>
    <xf numFmtId="0" fontId="34" fillId="0" borderId="0" xfId="0" applyFont="1" applyBorder="1" applyAlignment="1">
      <alignment/>
    </xf>
    <xf numFmtId="2" fontId="21" fillId="24" borderId="28" xfId="68" applyNumberFormat="1" applyFont="1" applyFill="1" applyBorder="1" applyAlignment="1">
      <alignment horizontal="center"/>
    </xf>
    <xf numFmtId="2" fontId="21" fillId="24" borderId="14" xfId="68" applyNumberFormat="1" applyFont="1" applyFill="1" applyBorder="1" applyAlignment="1">
      <alignment horizontal="center"/>
    </xf>
    <xf numFmtId="205" fontId="21" fillId="24" borderId="26" xfId="68" applyNumberFormat="1" applyFont="1" applyFill="1" applyBorder="1" applyAlignment="1">
      <alignment horizontal="center"/>
    </xf>
    <xf numFmtId="205" fontId="21" fillId="24" borderId="27" xfId="68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177" fontId="32" fillId="17" borderId="32" xfId="68" applyFont="1" applyFill="1" applyBorder="1" applyAlignment="1">
      <alignment horizontal="left"/>
    </xf>
    <xf numFmtId="177" fontId="32" fillId="17" borderId="39" xfId="68" applyFont="1" applyFill="1" applyBorder="1" applyAlignment="1">
      <alignment horizontal="left"/>
    </xf>
    <xf numFmtId="177" fontId="21" fillId="0" borderId="32" xfId="68" applyFont="1" applyFill="1" applyBorder="1" applyAlignment="1">
      <alignment horizontal="center"/>
    </xf>
    <xf numFmtId="177" fontId="21" fillId="0" borderId="39" xfId="68" applyFont="1" applyFill="1" applyBorder="1" applyAlignment="1">
      <alignment horizontal="center"/>
    </xf>
    <xf numFmtId="177" fontId="21" fillId="0" borderId="29" xfId="68" applyFont="1" applyFill="1" applyBorder="1" applyAlignment="1">
      <alignment horizontal="center"/>
    </xf>
    <xf numFmtId="177" fontId="21" fillId="17" borderId="32" xfId="68" applyFont="1" applyFill="1" applyBorder="1" applyAlignment="1">
      <alignment horizontal="left"/>
    </xf>
    <xf numFmtId="177" fontId="21" fillId="17" borderId="39" xfId="68" applyFont="1" applyFill="1" applyBorder="1" applyAlignment="1">
      <alignment horizontal="left"/>
    </xf>
    <xf numFmtId="205" fontId="21" fillId="0" borderId="32" xfId="68" applyNumberFormat="1" applyFont="1" applyFill="1" applyBorder="1" applyAlignment="1">
      <alignment horizontal="center"/>
    </xf>
    <xf numFmtId="205" fontId="21" fillId="0" borderId="29" xfId="68" applyNumberFormat="1" applyFont="1" applyFill="1" applyBorder="1" applyAlignment="1">
      <alignment horizontal="center"/>
    </xf>
    <xf numFmtId="177" fontId="21" fillId="0" borderId="26" xfId="68" applyFont="1" applyBorder="1" applyAlignment="1">
      <alignment horizontal="center"/>
    </xf>
    <xf numFmtId="177" fontId="21" fillId="0" borderId="27" xfId="68" applyFont="1" applyBorder="1" applyAlignment="1">
      <alignment horizontal="center"/>
    </xf>
    <xf numFmtId="177" fontId="21" fillId="0" borderId="13" xfId="68" applyFont="1" applyBorder="1" applyAlignment="1">
      <alignment horizontal="center"/>
    </xf>
    <xf numFmtId="177" fontId="21" fillId="0" borderId="24" xfId="68" applyFont="1" applyBorder="1" applyAlignment="1">
      <alignment horizontal="center"/>
    </xf>
    <xf numFmtId="177" fontId="21" fillId="0" borderId="25" xfId="68" applyFont="1" applyBorder="1" applyAlignment="1">
      <alignment horizontal="center"/>
    </xf>
    <xf numFmtId="177" fontId="21" fillId="0" borderId="38" xfId="68" applyFont="1" applyBorder="1" applyAlignment="1">
      <alignment horizontal="center"/>
    </xf>
    <xf numFmtId="177" fontId="21" fillId="14" borderId="24" xfId="68" applyFont="1" applyFill="1" applyBorder="1" applyAlignment="1">
      <alignment horizontal="center"/>
    </xf>
    <xf numFmtId="177" fontId="21" fillId="14" borderId="25" xfId="68" applyFont="1" applyFill="1" applyBorder="1" applyAlignment="1">
      <alignment horizontal="center"/>
    </xf>
    <xf numFmtId="177" fontId="21" fillId="14" borderId="38" xfId="68" applyFont="1" applyFill="1" applyBorder="1" applyAlignment="1">
      <alignment horizontal="center"/>
    </xf>
    <xf numFmtId="177" fontId="21" fillId="14" borderId="32" xfId="68" applyFont="1" applyFill="1" applyBorder="1" applyAlignment="1">
      <alignment horizontal="center"/>
    </xf>
    <xf numFmtId="177" fontId="21" fillId="14" borderId="39" xfId="68" applyFont="1" applyFill="1" applyBorder="1" applyAlignment="1">
      <alignment horizontal="center"/>
    </xf>
    <xf numFmtId="177" fontId="21" fillId="14" borderId="29" xfId="68" applyFont="1" applyFill="1" applyBorder="1" applyAlignment="1">
      <alignment horizontal="center"/>
    </xf>
    <xf numFmtId="205" fontId="21" fillId="14" borderId="32" xfId="68" applyNumberFormat="1" applyFont="1" applyFill="1" applyBorder="1" applyAlignment="1">
      <alignment horizontal="center"/>
    </xf>
    <xf numFmtId="205" fontId="21" fillId="14" borderId="29" xfId="68" applyNumberFormat="1" applyFont="1" applyFill="1" applyBorder="1" applyAlignment="1">
      <alignment horizontal="center"/>
    </xf>
    <xf numFmtId="205" fontId="42" fillId="0" borderId="25" xfId="68" applyNumberFormat="1" applyFont="1" applyFill="1" applyBorder="1" applyAlignment="1">
      <alignment horizontal="center" vertical="center"/>
    </xf>
    <xf numFmtId="205" fontId="42" fillId="0" borderId="0" xfId="68" applyNumberFormat="1" applyFont="1" applyFill="1" applyBorder="1" applyAlignment="1">
      <alignment horizontal="center" vertical="center"/>
    </xf>
    <xf numFmtId="177" fontId="32" fillId="2" borderId="32" xfId="68" applyFont="1" applyFill="1" applyBorder="1" applyAlignment="1">
      <alignment horizontal="center"/>
    </xf>
    <xf numFmtId="177" fontId="32" fillId="2" borderId="39" xfId="68" applyFont="1" applyFill="1" applyBorder="1" applyAlignment="1">
      <alignment horizontal="center"/>
    </xf>
    <xf numFmtId="177" fontId="32" fillId="2" borderId="29" xfId="68" applyFont="1" applyFill="1" applyBorder="1" applyAlignment="1">
      <alignment horizontal="center"/>
    </xf>
    <xf numFmtId="177" fontId="36" fillId="14" borderId="32" xfId="68" applyFont="1" applyFill="1" applyBorder="1" applyAlignment="1">
      <alignment horizontal="center"/>
    </xf>
    <xf numFmtId="177" fontId="36" fillId="14" borderId="39" xfId="68" applyFont="1" applyFill="1" applyBorder="1" applyAlignment="1">
      <alignment horizontal="center"/>
    </xf>
    <xf numFmtId="177" fontId="36" fillId="14" borderId="29" xfId="68" applyFont="1" applyFill="1" applyBorder="1" applyAlignment="1">
      <alignment horizontal="center"/>
    </xf>
    <xf numFmtId="177" fontId="21" fillId="17" borderId="29" xfId="68" applyFont="1" applyFill="1" applyBorder="1" applyAlignment="1">
      <alignment horizontal="left"/>
    </xf>
    <xf numFmtId="205" fontId="21" fillId="24" borderId="28" xfId="68" applyNumberFormat="1" applyFont="1" applyFill="1" applyBorder="1" applyAlignment="1">
      <alignment horizontal="center"/>
    </xf>
    <xf numFmtId="205" fontId="21" fillId="24" borderId="14" xfId="68" applyNumberFormat="1" applyFont="1" applyFill="1" applyBorder="1" applyAlignment="1">
      <alignment horizontal="center"/>
    </xf>
    <xf numFmtId="177" fontId="41" fillId="25" borderId="32" xfId="68" applyFont="1" applyFill="1" applyBorder="1" applyAlignment="1">
      <alignment horizontal="center"/>
    </xf>
    <xf numFmtId="177" fontId="41" fillId="25" borderId="39" xfId="68" applyFont="1" applyFill="1" applyBorder="1" applyAlignment="1">
      <alignment horizontal="center"/>
    </xf>
    <xf numFmtId="177" fontId="41" fillId="25" borderId="29" xfId="68" applyFont="1" applyFill="1" applyBorder="1" applyAlignment="1">
      <alignment horizontal="center"/>
    </xf>
    <xf numFmtId="0" fontId="46" fillId="27" borderId="24" xfId="51" applyFont="1" applyFill="1" applyBorder="1" applyAlignment="1" applyProtection="1">
      <alignment horizontal="center" vertical="center"/>
      <protection/>
    </xf>
    <xf numFmtId="0" fontId="46" fillId="27" borderId="25" xfId="51" applyFont="1" applyFill="1" applyBorder="1" applyAlignment="1" applyProtection="1">
      <alignment horizontal="center" vertical="center"/>
      <protection/>
    </xf>
    <xf numFmtId="0" fontId="46" fillId="27" borderId="38" xfId="51" applyFont="1" applyFill="1" applyBorder="1" applyAlignment="1" applyProtection="1">
      <alignment horizontal="center" vertical="center"/>
      <protection/>
    </xf>
    <xf numFmtId="0" fontId="46" fillId="27" borderId="10" xfId="51" applyFont="1" applyFill="1" applyBorder="1" applyAlignment="1" applyProtection="1">
      <alignment horizontal="center" vertical="center"/>
      <protection/>
    </xf>
    <xf numFmtId="0" fontId="46" fillId="27" borderId="0" xfId="51" applyFont="1" applyFill="1" applyBorder="1" applyAlignment="1" applyProtection="1">
      <alignment horizontal="center" vertical="center"/>
      <protection/>
    </xf>
    <xf numFmtId="0" fontId="46" fillId="27" borderId="12" xfId="51" applyFont="1" applyFill="1" applyBorder="1" applyAlignment="1" applyProtection="1">
      <alignment horizontal="center" vertical="center"/>
      <protection/>
    </xf>
    <xf numFmtId="0" fontId="46" fillId="0" borderId="34" xfId="51" applyFont="1" applyFill="1" applyBorder="1" applyAlignment="1" applyProtection="1">
      <alignment horizontal="left" vertical="center"/>
      <protection locked="0"/>
    </xf>
    <xf numFmtId="0" fontId="46" fillId="0" borderId="36" xfId="51" applyFont="1" applyFill="1" applyBorder="1" applyAlignment="1" applyProtection="1">
      <alignment horizontal="left" vertical="center"/>
      <protection locked="0"/>
    </xf>
    <xf numFmtId="0" fontId="46" fillId="0" borderId="45" xfId="51" applyFont="1" applyFill="1" applyBorder="1" applyAlignment="1" applyProtection="1">
      <alignment horizontal="left" vertical="center"/>
      <protection locked="0"/>
    </xf>
    <xf numFmtId="0" fontId="46" fillId="0" borderId="18" xfId="51" applyFont="1" applyFill="1" applyBorder="1" applyAlignment="1" applyProtection="1">
      <alignment horizontal="left" vertical="center"/>
      <protection locked="0"/>
    </xf>
    <xf numFmtId="0" fontId="54" fillId="0" borderId="45" xfId="51" applyFont="1" applyFill="1" applyBorder="1" applyAlignment="1" applyProtection="1">
      <alignment horizontal="left" vertical="center"/>
      <protection locked="0"/>
    </xf>
    <xf numFmtId="0" fontId="54" fillId="0" borderId="36" xfId="51" applyFont="1" applyFill="1" applyBorder="1" applyAlignment="1" applyProtection="1">
      <alignment horizontal="left" vertical="center"/>
      <protection locked="0"/>
    </xf>
    <xf numFmtId="0" fontId="54" fillId="0" borderId="18" xfId="51" applyFont="1" applyFill="1" applyBorder="1" applyAlignment="1" applyProtection="1">
      <alignment horizontal="left" vertical="center"/>
      <protection locked="0"/>
    </xf>
    <xf numFmtId="0" fontId="44" fillId="16" borderId="46" xfId="51" applyFont="1" applyFill="1" applyBorder="1" applyAlignment="1" applyProtection="1">
      <alignment horizontal="center" vertical="center"/>
      <protection/>
    </xf>
    <xf numFmtId="0" fontId="44" fillId="16" borderId="30" xfId="51" applyFont="1" applyFill="1" applyBorder="1" applyAlignment="1" applyProtection="1">
      <alignment horizontal="center" vertical="center"/>
      <protection/>
    </xf>
    <xf numFmtId="0" fontId="44" fillId="16" borderId="46" xfId="51" applyFont="1" applyFill="1" applyBorder="1" applyAlignment="1" applyProtection="1">
      <alignment horizontal="center" vertical="center" wrapText="1"/>
      <protection/>
    </xf>
    <xf numFmtId="0" fontId="44" fillId="16" borderId="30" xfId="51" applyFont="1" applyFill="1" applyBorder="1" applyAlignment="1" applyProtection="1">
      <alignment horizontal="center" vertical="center" wrapText="1"/>
      <protection/>
    </xf>
    <xf numFmtId="0" fontId="46" fillId="16" borderId="46" xfId="51" applyFont="1" applyFill="1" applyBorder="1" applyAlignment="1" applyProtection="1">
      <alignment horizontal="center" vertical="center"/>
      <protection/>
    </xf>
    <xf numFmtId="0" fontId="46" fillId="16" borderId="30" xfId="51" applyFont="1" applyFill="1" applyBorder="1" applyAlignment="1" applyProtection="1">
      <alignment horizontal="center" vertical="center"/>
      <protection/>
    </xf>
    <xf numFmtId="10" fontId="46" fillId="28" borderId="40" xfId="54" applyNumberFormat="1" applyFont="1" applyFill="1" applyBorder="1" applyAlignment="1" applyProtection="1">
      <alignment horizontal="center" vertical="center"/>
      <protection/>
    </xf>
    <xf numFmtId="10" fontId="46" fillId="28" borderId="47" xfId="54" applyNumberFormat="1" applyFont="1" applyFill="1" applyBorder="1" applyAlignment="1" applyProtection="1">
      <alignment horizontal="center" vertical="center"/>
      <protection/>
    </xf>
    <xf numFmtId="10" fontId="46" fillId="28" borderId="45" xfId="54" applyNumberFormat="1" applyFont="1" applyFill="1" applyBorder="1" applyAlignment="1" applyProtection="1">
      <alignment horizontal="center" vertical="center"/>
      <protection/>
    </xf>
    <xf numFmtId="10" fontId="46" fillId="28" borderId="48" xfId="54" applyNumberFormat="1" applyFont="1" applyFill="1" applyBorder="1" applyAlignment="1" applyProtection="1">
      <alignment horizontal="center" vertical="center"/>
      <protection/>
    </xf>
    <xf numFmtId="0" fontId="44" fillId="0" borderId="30" xfId="51" applyFont="1" applyBorder="1" applyAlignment="1" applyProtection="1">
      <alignment horizontal="left" vertical="center"/>
      <protection/>
    </xf>
    <xf numFmtId="10" fontId="44" fillId="0" borderId="30" xfId="51" applyNumberFormat="1" applyFont="1" applyBorder="1" applyAlignment="1" applyProtection="1">
      <alignment horizontal="center" vertical="center"/>
      <protection/>
    </xf>
    <xf numFmtId="10" fontId="44" fillId="28" borderId="30" xfId="54" applyNumberFormat="1" applyFont="1" applyFill="1" applyBorder="1" applyAlignment="1" applyProtection="1">
      <alignment horizontal="right" vertical="center"/>
      <protection locked="0"/>
    </xf>
    <xf numFmtId="0" fontId="44" fillId="0" borderId="30" xfId="51" applyFont="1" applyBorder="1" applyAlignment="1" applyProtection="1">
      <alignment horizontal="center" vertical="center" wrapText="1"/>
      <protection/>
    </xf>
    <xf numFmtId="0" fontId="44" fillId="0" borderId="49" xfId="51" applyFont="1" applyBorder="1" applyAlignment="1" applyProtection="1">
      <alignment horizontal="center" vertical="center" wrapText="1"/>
      <protection/>
    </xf>
    <xf numFmtId="0" fontId="44" fillId="0" borderId="41" xfId="51" applyFont="1" applyBorder="1" applyAlignment="1" applyProtection="1">
      <alignment horizontal="center" vertical="center" wrapText="1"/>
      <protection/>
    </xf>
    <xf numFmtId="0" fontId="44" fillId="0" borderId="50" xfId="51" applyFont="1" applyBorder="1" applyAlignment="1" applyProtection="1">
      <alignment horizontal="center" vertical="center" wrapText="1"/>
      <protection/>
    </xf>
    <xf numFmtId="0" fontId="44" fillId="0" borderId="45" xfId="51" applyFont="1" applyBorder="1" applyAlignment="1" applyProtection="1">
      <alignment horizontal="center" vertical="center" wrapText="1"/>
      <protection/>
    </xf>
    <xf numFmtId="0" fontId="44" fillId="0" borderId="36" xfId="51" applyFont="1" applyBorder="1" applyAlignment="1" applyProtection="1">
      <alignment horizontal="center" vertical="center" wrapText="1"/>
      <protection/>
    </xf>
    <xf numFmtId="0" fontId="44" fillId="0" borderId="48" xfId="51" applyFont="1" applyBorder="1" applyAlignment="1" applyProtection="1">
      <alignment horizontal="center" vertical="center" wrapText="1"/>
      <protection/>
    </xf>
    <xf numFmtId="49" fontId="0" fillId="0" borderId="0" xfId="51" applyNumberFormat="1" applyFont="1" applyFill="1" applyBorder="1" applyAlignment="1" applyProtection="1">
      <alignment horizontal="center" vertical="center"/>
      <protection locked="0"/>
    </xf>
    <xf numFmtId="0" fontId="48" fillId="0" borderId="0" xfId="51" applyFont="1" applyFill="1" applyBorder="1" applyAlignment="1" applyProtection="1">
      <alignment horizontal="left" vertical="center"/>
      <protection locked="0"/>
    </xf>
    <xf numFmtId="4" fontId="49" fillId="0" borderId="0" xfId="51" applyNumberFormat="1" applyFont="1" applyFill="1" applyBorder="1" applyAlignment="1" applyProtection="1">
      <alignment horizontal="right" vertical="center"/>
      <protection locked="0"/>
    </xf>
    <xf numFmtId="177" fontId="49" fillId="0" borderId="0" xfId="68" applyFont="1" applyFill="1" applyBorder="1" applyAlignment="1" applyProtection="1">
      <alignment horizontal="right" vertical="center"/>
      <protection/>
    </xf>
    <xf numFmtId="177" fontId="0" fillId="0" borderId="0" xfId="68" applyFont="1" applyFill="1" applyBorder="1" applyAlignment="1" applyProtection="1">
      <alignment horizontal="right" vertical="center"/>
      <protection/>
    </xf>
    <xf numFmtId="0" fontId="46" fillId="0" borderId="41" xfId="0" applyNumberFormat="1" applyFont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 wrapText="1"/>
    </xf>
    <xf numFmtId="0" fontId="44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177" fontId="48" fillId="0" borderId="0" xfId="68" applyFont="1" applyFill="1" applyBorder="1" applyAlignment="1" applyProtection="1">
      <alignment horizontal="right" vertical="center"/>
      <protection/>
    </xf>
    <xf numFmtId="205" fontId="22" fillId="0" borderId="23" xfId="69" applyNumberFormat="1" applyFont="1" applyBorder="1" applyAlignment="1">
      <alignment horizontal="center" vertical="center"/>
    </xf>
    <xf numFmtId="205" fontId="22" fillId="24" borderId="0" xfId="68" applyNumberFormat="1" applyFont="1" applyFill="1" applyBorder="1" applyAlignment="1">
      <alignment horizontal="center" vertical="center"/>
    </xf>
    <xf numFmtId="10" fontId="32" fillId="24" borderId="0" xfId="68" applyNumberFormat="1" applyFont="1" applyFill="1" applyBorder="1" applyAlignment="1">
      <alignment horizontal="center" vertical="center"/>
    </xf>
    <xf numFmtId="205" fontId="22" fillId="24" borderId="27" xfId="68" applyNumberFormat="1" applyFont="1" applyFill="1" applyBorder="1" applyAlignment="1">
      <alignment horizontal="center" vertical="center"/>
    </xf>
    <xf numFmtId="205" fontId="21" fillId="24" borderId="28" xfId="68" applyNumberFormat="1" applyFont="1" applyFill="1" applyBorder="1" applyAlignment="1">
      <alignment horizontal="center" vertical="center"/>
    </xf>
    <xf numFmtId="205" fontId="21" fillId="24" borderId="14" xfId="68" applyNumberFormat="1" applyFont="1" applyFill="1" applyBorder="1" applyAlignment="1">
      <alignment horizontal="center" vertical="center"/>
    </xf>
    <xf numFmtId="205" fontId="22" fillId="0" borderId="23" xfId="68" applyNumberFormat="1" applyFont="1" applyBorder="1" applyAlignment="1">
      <alignment horizontal="center" vertical="center"/>
    </xf>
    <xf numFmtId="205" fontId="32" fillId="2" borderId="23" xfId="68" applyNumberFormat="1" applyFont="1" applyFill="1" applyBorder="1" applyAlignment="1">
      <alignment horizontal="center" vertical="center"/>
    </xf>
    <xf numFmtId="205" fontId="22" fillId="0" borderId="32" xfId="68" applyNumberFormat="1" applyFont="1" applyBorder="1" applyAlignment="1">
      <alignment horizontal="center" vertical="center"/>
    </xf>
    <xf numFmtId="205" fontId="36" fillId="14" borderId="32" xfId="68" applyNumberFormat="1" applyFont="1" applyFill="1" applyBorder="1" applyAlignment="1">
      <alignment horizontal="center" vertical="center"/>
    </xf>
    <xf numFmtId="205" fontId="41" fillId="25" borderId="32" xfId="68" applyNumberFormat="1" applyFont="1" applyFill="1" applyBorder="1" applyAlignment="1">
      <alignment horizontal="center" vertical="center"/>
    </xf>
    <xf numFmtId="212" fontId="23" fillId="0" borderId="0" xfId="54" applyNumberFormat="1" applyFont="1" applyAlignment="1">
      <alignment horizontal="center" vertical="center"/>
    </xf>
    <xf numFmtId="205" fontId="23" fillId="0" borderId="0" xfId="68" applyNumberFormat="1" applyFont="1" applyAlignment="1">
      <alignment horizontal="center" vertical="center"/>
    </xf>
    <xf numFmtId="205" fontId="28" fillId="0" borderId="38" xfId="68" applyNumberFormat="1" applyFont="1" applyFill="1" applyBorder="1" applyAlignment="1">
      <alignment/>
    </xf>
    <xf numFmtId="205" fontId="28" fillId="0" borderId="12" xfId="68" applyNumberFormat="1" applyFont="1" applyFill="1" applyBorder="1" applyAlignment="1">
      <alignment/>
    </xf>
    <xf numFmtId="177" fontId="53" fillId="0" borderId="0" xfId="68" applyFont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 3" xfId="51"/>
    <cellStyle name="Nota" xfId="52"/>
    <cellStyle name="Nota 2" xfId="53"/>
    <cellStyle name="Percent" xfId="54"/>
    <cellStyle name="Porcentagem 2" xfId="55"/>
    <cellStyle name="Saída" xfId="56"/>
    <cellStyle name="Comma [0]" xfId="57"/>
    <cellStyle name="Separador de milhares 2" xfId="58"/>
    <cellStyle name="Separador de milhares 2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8</xdr:col>
      <xdr:colOff>4048125</xdr:colOff>
      <xdr:row>6</xdr:row>
      <xdr:rowOff>266700</xdr:rowOff>
    </xdr:to>
    <xdr:pic>
      <xdr:nvPicPr>
        <xdr:cNvPr id="1" name="Imagem 1" descr="https://encrypted-tbn0.gstatic.com/images?q=tbn:ANd9GcQuF4B7QkKlnDicxjdQR4iQPy0DORRHilk8z4zyZfLX23K5kz-25fBSSy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36775" y="0"/>
          <a:ext cx="40481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1"/>
  <sheetViews>
    <sheetView view="pageBreakPreview" zoomScale="40" zoomScaleNormal="50" zoomScaleSheetLayoutView="40" workbookViewId="0" topLeftCell="A1">
      <pane ySplit="9" topLeftCell="A293" activePane="bottomLeft" state="frozen"/>
      <selection pane="topLeft" activeCell="A1" sqref="A1"/>
      <selection pane="bottomLeft" activeCell="H378" sqref="H378"/>
    </sheetView>
  </sheetViews>
  <sheetFormatPr defaultColWidth="9.140625" defaultRowHeight="12.75"/>
  <cols>
    <col min="1" max="1" width="14.421875" style="2" customWidth="1"/>
    <col min="2" max="2" width="229.8515625" style="54" customWidth="1"/>
    <col min="3" max="3" width="16.57421875" style="113" bestFit="1" customWidth="1"/>
    <col min="4" max="4" width="31.57421875" style="128" customWidth="1"/>
    <col min="5" max="8" width="30.140625" style="109" customWidth="1"/>
    <col min="9" max="9" width="62.28125" style="74" customWidth="1"/>
    <col min="10" max="16384" width="9.140625" style="2" customWidth="1"/>
  </cols>
  <sheetData>
    <row r="1" spans="1:9" ht="25.5" customHeight="1">
      <c r="A1" s="29">
        <v>0</v>
      </c>
      <c r="B1" s="32"/>
      <c r="C1" s="303" t="s">
        <v>299</v>
      </c>
      <c r="D1" s="303"/>
      <c r="E1" s="303"/>
      <c r="F1" s="303"/>
      <c r="G1" s="303"/>
      <c r="H1" s="303"/>
      <c r="I1" s="134"/>
    </row>
    <row r="2" spans="1:9" ht="25.5" customHeight="1">
      <c r="A2" s="30" t="s">
        <v>4</v>
      </c>
      <c r="B2" s="33"/>
      <c r="C2" s="304"/>
      <c r="D2" s="304"/>
      <c r="E2" s="304"/>
      <c r="F2" s="304"/>
      <c r="G2" s="304"/>
      <c r="H2" s="304"/>
      <c r="I2" s="135"/>
    </row>
    <row r="3" spans="1:9" ht="25.5" customHeight="1">
      <c r="A3" s="31" t="s">
        <v>544</v>
      </c>
      <c r="B3" s="33"/>
      <c r="C3" s="111"/>
      <c r="D3" s="116"/>
      <c r="E3" s="101"/>
      <c r="F3" s="101"/>
      <c r="G3" s="101"/>
      <c r="H3" s="102"/>
      <c r="I3" s="62"/>
    </row>
    <row r="4" spans="1:9" ht="25.5" customHeight="1">
      <c r="A4" s="30" t="s">
        <v>283</v>
      </c>
      <c r="B4" s="33"/>
      <c r="C4" s="111"/>
      <c r="D4" s="116"/>
      <c r="E4" s="101"/>
      <c r="F4" s="101"/>
      <c r="G4" s="101"/>
      <c r="H4" s="102"/>
      <c r="I4" s="62"/>
    </row>
    <row r="5" spans="1:9" ht="25.5" customHeight="1">
      <c r="A5" s="3"/>
      <c r="B5" s="34"/>
      <c r="C5" s="111"/>
      <c r="D5" s="116"/>
      <c r="E5" s="102"/>
      <c r="F5" s="102" t="s">
        <v>410</v>
      </c>
      <c r="G5" s="143" t="e">
        <f>#REF!</f>
        <v>#REF!</v>
      </c>
      <c r="H5" s="102"/>
      <c r="I5" s="62"/>
    </row>
    <row r="6" spans="1:9" ht="25.5" customHeight="1">
      <c r="A6" s="305" t="s">
        <v>286</v>
      </c>
      <c r="B6" s="306"/>
      <c r="C6" s="306"/>
      <c r="D6" s="306"/>
      <c r="E6" s="306"/>
      <c r="F6" s="306"/>
      <c r="G6" s="306"/>
      <c r="H6" s="306"/>
      <c r="I6" s="63"/>
    </row>
    <row r="7" spans="1:9" ht="25.5" customHeight="1" thickBot="1">
      <c r="A7" s="55"/>
      <c r="B7" s="56"/>
      <c r="C7" s="112"/>
      <c r="D7" s="117"/>
      <c r="E7" s="103"/>
      <c r="F7" s="103"/>
      <c r="G7" s="103"/>
      <c r="H7" s="103"/>
      <c r="I7" s="64"/>
    </row>
    <row r="8" spans="1:9" ht="25.5" customHeight="1" thickBot="1">
      <c r="A8" s="4"/>
      <c r="B8" s="35"/>
      <c r="C8" s="5"/>
      <c r="D8" s="307" t="s">
        <v>295</v>
      </c>
      <c r="E8" s="309" t="s">
        <v>298</v>
      </c>
      <c r="F8" s="310"/>
      <c r="G8" s="309" t="s">
        <v>3</v>
      </c>
      <c r="H8" s="310"/>
      <c r="I8" s="311" t="s">
        <v>278</v>
      </c>
    </row>
    <row r="9" spans="1:9" ht="25.5" customHeight="1" thickBot="1">
      <c r="A9" s="7" t="s">
        <v>0</v>
      </c>
      <c r="B9" s="36" t="s">
        <v>1</v>
      </c>
      <c r="C9" s="6" t="s">
        <v>2</v>
      </c>
      <c r="D9" s="308"/>
      <c r="E9" s="91" t="s">
        <v>296</v>
      </c>
      <c r="F9" s="91" t="s">
        <v>297</v>
      </c>
      <c r="G9" s="91" t="s">
        <v>296</v>
      </c>
      <c r="H9" s="91" t="s">
        <v>297</v>
      </c>
      <c r="I9" s="312"/>
    </row>
    <row r="10" spans="1:9" ht="31.5" customHeight="1" thickBot="1">
      <c r="A10" s="131" t="s">
        <v>5</v>
      </c>
      <c r="B10" s="313" t="s">
        <v>6</v>
      </c>
      <c r="C10" s="314"/>
      <c r="D10" s="314"/>
      <c r="E10" s="314"/>
      <c r="F10" s="314"/>
      <c r="G10" s="314"/>
      <c r="H10" s="314"/>
      <c r="I10" s="314"/>
    </row>
    <row r="11" spans="1:9" ht="25.5" customHeight="1" thickBot="1">
      <c r="A11" s="57" t="s">
        <v>7</v>
      </c>
      <c r="B11" s="146" t="s">
        <v>547</v>
      </c>
      <c r="C11" s="59"/>
      <c r="D11" s="119"/>
      <c r="E11" s="105"/>
      <c r="F11" s="105"/>
      <c r="G11" s="93"/>
      <c r="H11" s="93"/>
      <c r="I11" s="65"/>
    </row>
    <row r="12" spans="1:9" ht="25.5" customHeight="1">
      <c r="A12" s="11" t="s">
        <v>300</v>
      </c>
      <c r="B12" s="43" t="s">
        <v>20</v>
      </c>
      <c r="C12" s="16" t="s">
        <v>8</v>
      </c>
      <c r="D12" s="138">
        <v>237.57</v>
      </c>
      <c r="E12" s="104">
        <v>0</v>
      </c>
      <c r="F12" s="104">
        <v>5.57</v>
      </c>
      <c r="G12" s="92">
        <f aca="true" t="shared" si="0" ref="G12:G18">ROUND(D12*E12,2)</f>
        <v>0</v>
      </c>
      <c r="H12" s="92">
        <f aca="true" t="shared" si="1" ref="H12:H18">ROUND(D12*F12,2)</f>
        <v>1323.26</v>
      </c>
      <c r="I12" s="75" t="s">
        <v>433</v>
      </c>
    </row>
    <row r="13" spans="1:9" ht="25.5" customHeight="1">
      <c r="A13" s="11" t="s">
        <v>575</v>
      </c>
      <c r="B13" s="43" t="s">
        <v>545</v>
      </c>
      <c r="C13" s="16" t="s">
        <v>8</v>
      </c>
      <c r="D13" s="138">
        <v>237.57</v>
      </c>
      <c r="E13" s="104">
        <v>0</v>
      </c>
      <c r="F13" s="104">
        <v>12.07</v>
      </c>
      <c r="G13" s="92">
        <f t="shared" si="0"/>
        <v>0</v>
      </c>
      <c r="H13" s="92">
        <f t="shared" si="1"/>
        <v>2867.47</v>
      </c>
      <c r="I13" s="75" t="s">
        <v>432</v>
      </c>
    </row>
    <row r="14" spans="1:9" ht="25.5" customHeight="1">
      <c r="A14" s="11" t="s">
        <v>576</v>
      </c>
      <c r="B14" s="37" t="s">
        <v>13</v>
      </c>
      <c r="C14" s="11" t="s">
        <v>8</v>
      </c>
      <c r="D14" s="138">
        <f>+(3.38+5*5.85+2.8+23.65+14.65+6.2+6.2+3.8+23.65)*3</f>
        <v>340.74</v>
      </c>
      <c r="E14" s="104">
        <v>0</v>
      </c>
      <c r="F14" s="104">
        <v>25.45</v>
      </c>
      <c r="G14" s="92">
        <f t="shared" si="0"/>
        <v>0</v>
      </c>
      <c r="H14" s="92">
        <f t="shared" si="1"/>
        <v>8671.83</v>
      </c>
      <c r="I14" s="77" t="s">
        <v>426</v>
      </c>
    </row>
    <row r="15" spans="1:9" ht="25.5" customHeight="1">
      <c r="A15" s="11" t="s">
        <v>577</v>
      </c>
      <c r="B15" s="37" t="s">
        <v>546</v>
      </c>
      <c r="C15" s="10" t="s">
        <v>2</v>
      </c>
      <c r="D15" s="138">
        <v>19</v>
      </c>
      <c r="E15" s="104">
        <v>0</v>
      </c>
      <c r="F15" s="104">
        <v>4.64</v>
      </c>
      <c r="G15" s="92">
        <f t="shared" si="0"/>
        <v>0</v>
      </c>
      <c r="H15" s="92">
        <f t="shared" si="1"/>
        <v>88.16</v>
      </c>
      <c r="I15" s="78" t="s">
        <v>428</v>
      </c>
    </row>
    <row r="16" spans="1:9" ht="25.5" customHeight="1">
      <c r="A16" s="11" t="s">
        <v>578</v>
      </c>
      <c r="B16" s="43" t="s">
        <v>11</v>
      </c>
      <c r="C16" s="16" t="s">
        <v>8</v>
      </c>
      <c r="D16" s="138">
        <v>237.57</v>
      </c>
      <c r="E16" s="104">
        <v>0</v>
      </c>
      <c r="F16" s="104">
        <v>13</v>
      </c>
      <c r="G16" s="92">
        <f t="shared" si="0"/>
        <v>0</v>
      </c>
      <c r="H16" s="92">
        <f t="shared" si="1"/>
        <v>3088.41</v>
      </c>
      <c r="I16" s="77" t="s">
        <v>427</v>
      </c>
    </row>
    <row r="17" spans="1:9" ht="25.5" customHeight="1">
      <c r="A17" s="11" t="s">
        <v>579</v>
      </c>
      <c r="B17" s="84" t="s">
        <v>285</v>
      </c>
      <c r="C17" s="16" t="s">
        <v>367</v>
      </c>
      <c r="D17" s="138">
        <v>2</v>
      </c>
      <c r="E17" s="104">
        <v>0</v>
      </c>
      <c r="F17" s="104">
        <v>11.61</v>
      </c>
      <c r="G17" s="92">
        <f t="shared" si="0"/>
        <v>0</v>
      </c>
      <c r="H17" s="92">
        <f t="shared" si="1"/>
        <v>23.22</v>
      </c>
      <c r="I17" s="75" t="s">
        <v>434</v>
      </c>
    </row>
    <row r="18" spans="1:9" ht="25.5" customHeight="1" thickBot="1">
      <c r="A18" s="11" t="s">
        <v>364</v>
      </c>
      <c r="B18" s="40" t="s">
        <v>591</v>
      </c>
      <c r="C18" s="11" t="s">
        <v>8</v>
      </c>
      <c r="D18" s="138">
        <v>179.65</v>
      </c>
      <c r="E18" s="104">
        <v>0</v>
      </c>
      <c r="F18" s="104">
        <v>3.38</v>
      </c>
      <c r="G18" s="92">
        <f t="shared" si="0"/>
        <v>0</v>
      </c>
      <c r="H18" s="92">
        <f t="shared" si="1"/>
        <v>607.22</v>
      </c>
      <c r="I18" s="78" t="s">
        <v>431</v>
      </c>
    </row>
    <row r="19" spans="1:9" ht="25.5" customHeight="1" thickBot="1">
      <c r="A19" s="57" t="s">
        <v>9</v>
      </c>
      <c r="B19" s="146" t="s">
        <v>593</v>
      </c>
      <c r="C19" s="59"/>
      <c r="D19" s="59"/>
      <c r="E19" s="105"/>
      <c r="F19" s="105"/>
      <c r="G19" s="93"/>
      <c r="H19" s="93"/>
      <c r="I19" s="65"/>
    </row>
    <row r="20" spans="1:9" ht="25.5" customHeight="1">
      <c r="A20" s="11" t="s">
        <v>580</v>
      </c>
      <c r="B20" s="43" t="s">
        <v>20</v>
      </c>
      <c r="C20" s="16" t="s">
        <v>8</v>
      </c>
      <c r="D20" s="138">
        <v>64.52</v>
      </c>
      <c r="E20" s="104">
        <v>0</v>
      </c>
      <c r="F20" s="104">
        <v>5.57</v>
      </c>
      <c r="G20" s="92">
        <f aca="true" t="shared" si="2" ref="G20:G26">ROUND(D20*E20,2)</f>
        <v>0</v>
      </c>
      <c r="H20" s="92">
        <f aca="true" t="shared" si="3" ref="H20:H26">ROUND(D20*F20,2)</f>
        <v>359.38</v>
      </c>
      <c r="I20" s="75" t="s">
        <v>433</v>
      </c>
    </row>
    <row r="21" spans="1:9" ht="25.5" customHeight="1">
      <c r="A21" s="11" t="s">
        <v>16</v>
      </c>
      <c r="B21" s="43" t="s">
        <v>269</v>
      </c>
      <c r="C21" s="16" t="s">
        <v>8</v>
      </c>
      <c r="D21" s="138">
        <v>64.52</v>
      </c>
      <c r="E21" s="104">
        <v>0</v>
      </c>
      <c r="F21" s="104">
        <v>12.07</v>
      </c>
      <c r="G21" s="92">
        <f t="shared" si="2"/>
        <v>0</v>
      </c>
      <c r="H21" s="92">
        <f t="shared" si="3"/>
        <v>778.76</v>
      </c>
      <c r="I21" s="75" t="s">
        <v>432</v>
      </c>
    </row>
    <row r="22" spans="1:9" ht="25.5" customHeight="1">
      <c r="A22" s="11" t="s">
        <v>301</v>
      </c>
      <c r="B22" s="40" t="s">
        <v>18</v>
      </c>
      <c r="C22" s="18" t="s">
        <v>8</v>
      </c>
      <c r="D22" s="138">
        <f>+(4.75+2.6+1.15*3+1.2*5+2.55)*1.8</f>
        <v>34.83</v>
      </c>
      <c r="E22" s="104">
        <v>0</v>
      </c>
      <c r="F22" s="104">
        <v>7.13</v>
      </c>
      <c r="G22" s="92">
        <f t="shared" si="2"/>
        <v>0</v>
      </c>
      <c r="H22" s="92">
        <f t="shared" si="3"/>
        <v>248.34</v>
      </c>
      <c r="I22" s="77" t="s">
        <v>425</v>
      </c>
    </row>
    <row r="23" spans="1:9" ht="25.5" customHeight="1">
      <c r="A23" s="11" t="s">
        <v>302</v>
      </c>
      <c r="B23" s="37" t="s">
        <v>13</v>
      </c>
      <c r="C23" s="11" t="s">
        <v>8</v>
      </c>
      <c r="D23" s="138">
        <f>+(2.15+1.2+4.65+7.6+6.8+8.55)*3</f>
        <v>92.85</v>
      </c>
      <c r="E23" s="104">
        <v>0</v>
      </c>
      <c r="F23" s="104">
        <v>25.45</v>
      </c>
      <c r="G23" s="92">
        <f t="shared" si="2"/>
        <v>0</v>
      </c>
      <c r="H23" s="92">
        <f t="shared" si="3"/>
        <v>2363.03</v>
      </c>
      <c r="I23" s="77" t="s">
        <v>426</v>
      </c>
    </row>
    <row r="24" spans="1:9" ht="25.5" customHeight="1">
      <c r="A24" s="11" t="s">
        <v>17</v>
      </c>
      <c r="B24" s="43" t="s">
        <v>19</v>
      </c>
      <c r="C24" s="16" t="s">
        <v>2</v>
      </c>
      <c r="D24" s="138">
        <f>6+1</f>
        <v>7</v>
      </c>
      <c r="E24" s="104">
        <v>0</v>
      </c>
      <c r="F24" s="104">
        <v>2.55</v>
      </c>
      <c r="G24" s="92">
        <f t="shared" si="2"/>
        <v>0</v>
      </c>
      <c r="H24" s="92">
        <f t="shared" si="3"/>
        <v>17.85</v>
      </c>
      <c r="I24" s="77" t="s">
        <v>429</v>
      </c>
    </row>
    <row r="25" spans="1:9" ht="25.5" customHeight="1">
      <c r="A25" s="11" t="s">
        <v>303</v>
      </c>
      <c r="B25" s="43" t="s">
        <v>11</v>
      </c>
      <c r="C25" s="16" t="s">
        <v>8</v>
      </c>
      <c r="D25" s="138">
        <f>25.41+7.2</f>
        <v>32.61</v>
      </c>
      <c r="E25" s="104">
        <v>0</v>
      </c>
      <c r="F25" s="104">
        <v>13</v>
      </c>
      <c r="G25" s="92">
        <f t="shared" si="2"/>
        <v>0</v>
      </c>
      <c r="H25" s="92">
        <f t="shared" si="3"/>
        <v>423.93</v>
      </c>
      <c r="I25" s="77" t="s">
        <v>427</v>
      </c>
    </row>
    <row r="26" spans="1:9" ht="25.5" customHeight="1" thickBot="1">
      <c r="A26" s="11" t="s">
        <v>304</v>
      </c>
      <c r="B26" s="40" t="s">
        <v>284</v>
      </c>
      <c r="C26" s="16" t="s">
        <v>2</v>
      </c>
      <c r="D26" s="138">
        <f>1+7</f>
        <v>8</v>
      </c>
      <c r="E26" s="104">
        <v>0</v>
      </c>
      <c r="F26" s="104">
        <v>3.39</v>
      </c>
      <c r="G26" s="92">
        <f t="shared" si="2"/>
        <v>0</v>
      </c>
      <c r="H26" s="92">
        <f t="shared" si="3"/>
        <v>27.12</v>
      </c>
      <c r="I26" s="77" t="s">
        <v>430</v>
      </c>
    </row>
    <row r="27" spans="1:9" ht="25.5" customHeight="1" thickBot="1">
      <c r="A27" s="315" t="s">
        <v>21</v>
      </c>
      <c r="B27" s="316"/>
      <c r="C27" s="316"/>
      <c r="D27" s="316"/>
      <c r="E27" s="316"/>
      <c r="F27" s="317"/>
      <c r="G27" s="204">
        <f>SUM(G11:G26)</f>
        <v>0</v>
      </c>
      <c r="H27" s="204">
        <f>SUM(H11:H26)</f>
        <v>20887.979999999996</v>
      </c>
      <c r="I27" s="69"/>
    </row>
    <row r="28" spans="1:9" ht="25.5" customHeight="1" thickBot="1">
      <c r="A28" s="315" t="s">
        <v>22</v>
      </c>
      <c r="B28" s="316"/>
      <c r="C28" s="316"/>
      <c r="D28" s="316"/>
      <c r="E28" s="316"/>
      <c r="F28" s="317"/>
      <c r="G28" s="320">
        <f>G27+H27</f>
        <v>20887.979999999996</v>
      </c>
      <c r="H28" s="321"/>
      <c r="I28" s="69"/>
    </row>
    <row r="29" spans="1:9" ht="25.5" customHeight="1" thickBot="1">
      <c r="A29" s="28" t="s">
        <v>24</v>
      </c>
      <c r="B29" s="318" t="s">
        <v>563</v>
      </c>
      <c r="C29" s="319"/>
      <c r="D29" s="319"/>
      <c r="E29" s="319"/>
      <c r="F29" s="319"/>
      <c r="G29" s="319">
        <f>ROUND(D29*E29,2)</f>
        <v>0</v>
      </c>
      <c r="H29" s="319">
        <f>ROUND(D29*F29,2)</f>
        <v>0</v>
      </c>
      <c r="I29" s="319"/>
    </row>
    <row r="30" spans="1:9" ht="25.5" customHeight="1" thickBot="1">
      <c r="A30" s="57" t="s">
        <v>23</v>
      </c>
      <c r="B30" s="58" t="s">
        <v>26</v>
      </c>
      <c r="C30" s="59"/>
      <c r="D30" s="119"/>
      <c r="E30" s="105"/>
      <c r="F30" s="105"/>
      <c r="G30" s="93"/>
      <c r="H30" s="93"/>
      <c r="I30" s="65"/>
    </row>
    <row r="31" spans="1:9" ht="27.75" customHeight="1">
      <c r="A31" s="19" t="s">
        <v>33</v>
      </c>
      <c r="B31" s="44" t="s">
        <v>28</v>
      </c>
      <c r="C31" s="16" t="s">
        <v>8</v>
      </c>
      <c r="D31" s="138">
        <f>3*1.5</f>
        <v>4.5</v>
      </c>
      <c r="E31" s="104">
        <v>126.61</v>
      </c>
      <c r="F31" s="104">
        <v>9.77</v>
      </c>
      <c r="G31" s="92">
        <f>ROUND(D31*E31,2)</f>
        <v>569.75</v>
      </c>
      <c r="H31" s="92">
        <f>ROUND(D31*F31,2)</f>
        <v>43.97</v>
      </c>
      <c r="I31" s="75" t="s">
        <v>435</v>
      </c>
    </row>
    <row r="32" spans="1:9" ht="25.5" customHeight="1">
      <c r="A32" s="19" t="s">
        <v>35</v>
      </c>
      <c r="B32" s="51" t="s">
        <v>27</v>
      </c>
      <c r="C32" s="27" t="s">
        <v>8</v>
      </c>
      <c r="D32" s="138">
        <v>477.67</v>
      </c>
      <c r="E32" s="104">
        <v>0</v>
      </c>
      <c r="F32" s="104">
        <v>2.04</v>
      </c>
      <c r="G32" s="95">
        <f>ROUND(D32*E32,2)</f>
        <v>0</v>
      </c>
      <c r="H32" s="95">
        <f>ROUND(D32*F32,2)</f>
        <v>974.45</v>
      </c>
      <c r="I32" s="77" t="s">
        <v>436</v>
      </c>
    </row>
    <row r="33" spans="1:9" ht="25.5" customHeight="1" thickBot="1">
      <c r="A33" s="19" t="s">
        <v>37</v>
      </c>
      <c r="B33" s="38" t="s">
        <v>29</v>
      </c>
      <c r="C33" s="14" t="s">
        <v>8</v>
      </c>
      <c r="D33" s="138">
        <v>477.67</v>
      </c>
      <c r="E33" s="104">
        <v>2.15</v>
      </c>
      <c r="F33" s="104">
        <v>2.69</v>
      </c>
      <c r="G33" s="96">
        <f>ROUND(D33*E33,2)</f>
        <v>1026.99</v>
      </c>
      <c r="H33" s="96">
        <f>ROUND(D33*F33,2)</f>
        <v>1284.93</v>
      </c>
      <c r="I33" s="76" t="s">
        <v>437</v>
      </c>
    </row>
    <row r="34" spans="1:9" ht="25.5" customHeight="1" thickBot="1">
      <c r="A34" s="298" t="s">
        <v>41</v>
      </c>
      <c r="B34" s="299"/>
      <c r="C34" s="299"/>
      <c r="D34" s="299"/>
      <c r="E34" s="299"/>
      <c r="F34" s="300"/>
      <c r="G34" s="94">
        <f>SUM(G31:G33)</f>
        <v>1596.74</v>
      </c>
      <c r="H34" s="94">
        <f>SUM(H31:H33)</f>
        <v>2303.3500000000004</v>
      </c>
      <c r="I34" s="68"/>
    </row>
    <row r="35" spans="1:9" ht="25.5" customHeight="1" thickBot="1">
      <c r="A35" s="298" t="s">
        <v>42</v>
      </c>
      <c r="B35" s="299"/>
      <c r="C35" s="299"/>
      <c r="D35" s="299"/>
      <c r="E35" s="299"/>
      <c r="F35" s="300"/>
      <c r="G35" s="301">
        <f>G34+H34</f>
        <v>3900.09</v>
      </c>
      <c r="H35" s="302"/>
      <c r="I35" s="68"/>
    </row>
    <row r="36" spans="1:9" ht="25.5" customHeight="1" thickBot="1">
      <c r="A36" s="57" t="s">
        <v>43</v>
      </c>
      <c r="B36" s="146" t="s">
        <v>32</v>
      </c>
      <c r="C36" s="59"/>
      <c r="D36" s="119"/>
      <c r="E36" s="105"/>
      <c r="F36" s="105"/>
      <c r="G36" s="93"/>
      <c r="H36" s="93"/>
      <c r="I36" s="65"/>
    </row>
    <row r="37" spans="1:9" ht="25.5" customHeight="1">
      <c r="A37" s="8" t="s">
        <v>45</v>
      </c>
      <c r="B37" s="45" t="s">
        <v>368</v>
      </c>
      <c r="C37" s="8" t="s">
        <v>14</v>
      </c>
      <c r="D37" s="138">
        <v>8.93</v>
      </c>
      <c r="E37" s="104">
        <v>0</v>
      </c>
      <c r="F37" s="104">
        <v>26.12</v>
      </c>
      <c r="G37" s="92">
        <f>ROUND(D37*E37,2)</f>
        <v>0</v>
      </c>
      <c r="H37" s="92">
        <f>ROUND(D37*F37,2)</f>
        <v>233.25</v>
      </c>
      <c r="I37" s="21" t="s">
        <v>438</v>
      </c>
    </row>
    <row r="38" spans="1:9" ht="25.5" customHeight="1">
      <c r="A38" s="8" t="s">
        <v>150</v>
      </c>
      <c r="B38" s="40" t="s">
        <v>36</v>
      </c>
      <c r="C38" s="11" t="s">
        <v>8</v>
      </c>
      <c r="D38" s="138">
        <f>8.93/0.3</f>
        <v>29.766666666666666</v>
      </c>
      <c r="E38" s="104">
        <v>0</v>
      </c>
      <c r="F38" s="104">
        <v>4.07</v>
      </c>
      <c r="G38" s="92">
        <f>ROUND(D38*E38,2)</f>
        <v>0</v>
      </c>
      <c r="H38" s="92">
        <f>ROUND(D38*F38,2)</f>
        <v>121.15</v>
      </c>
      <c r="I38" s="11" t="s">
        <v>461</v>
      </c>
    </row>
    <row r="39" spans="1:9" ht="25.5" customHeight="1">
      <c r="A39" s="8" t="s">
        <v>151</v>
      </c>
      <c r="B39" s="43" t="s">
        <v>369</v>
      </c>
      <c r="C39" s="16" t="s">
        <v>39</v>
      </c>
      <c r="D39" s="138">
        <v>315</v>
      </c>
      <c r="E39" s="104">
        <v>21.03</v>
      </c>
      <c r="F39" s="104">
        <v>26.31</v>
      </c>
      <c r="G39" s="92">
        <f>ROUND(D39*E39,2)</f>
        <v>6624.45</v>
      </c>
      <c r="H39" s="92">
        <f>ROUND(D39*F39,2)</f>
        <v>8287.65</v>
      </c>
      <c r="I39" s="77" t="s">
        <v>439</v>
      </c>
    </row>
    <row r="40" spans="1:9" ht="25.5" customHeight="1" thickBot="1">
      <c r="A40" s="8" t="s">
        <v>152</v>
      </c>
      <c r="B40" s="46" t="s">
        <v>40</v>
      </c>
      <c r="C40" s="18" t="s">
        <v>14</v>
      </c>
      <c r="D40" s="138">
        <v>25.81</v>
      </c>
      <c r="E40" s="104">
        <v>712.44</v>
      </c>
      <c r="F40" s="104">
        <v>333.1</v>
      </c>
      <c r="G40" s="92">
        <f>ROUND(D40*E40,2)</f>
        <v>18388.08</v>
      </c>
      <c r="H40" s="92">
        <f>ROUND(D40*F40,2)</f>
        <v>8597.31</v>
      </c>
      <c r="I40" s="77" t="s">
        <v>401</v>
      </c>
    </row>
    <row r="41" spans="1:9" ht="25.5" customHeight="1" thickBot="1">
      <c r="A41" s="298" t="s">
        <v>46</v>
      </c>
      <c r="B41" s="299"/>
      <c r="C41" s="299"/>
      <c r="D41" s="299"/>
      <c r="E41" s="299"/>
      <c r="F41" s="300"/>
      <c r="G41" s="94">
        <f>SUM(G37:G40)</f>
        <v>25012.530000000002</v>
      </c>
      <c r="H41" s="94">
        <f>SUM(H37:H40)</f>
        <v>17239.36</v>
      </c>
      <c r="I41" s="67"/>
    </row>
    <row r="42" spans="1:9" ht="25.5" customHeight="1" thickBot="1">
      <c r="A42" s="298" t="s">
        <v>47</v>
      </c>
      <c r="B42" s="299"/>
      <c r="C42" s="299"/>
      <c r="D42" s="299"/>
      <c r="E42" s="299"/>
      <c r="F42" s="300"/>
      <c r="G42" s="301">
        <f>G41+H41</f>
        <v>42251.89</v>
      </c>
      <c r="H42" s="302"/>
      <c r="I42" s="66"/>
    </row>
    <row r="43" spans="1:9" ht="25.5" customHeight="1">
      <c r="A43" s="183" t="s">
        <v>48</v>
      </c>
      <c r="B43" s="184" t="s">
        <v>44</v>
      </c>
      <c r="C43" s="185"/>
      <c r="D43" s="186"/>
      <c r="E43" s="187"/>
      <c r="F43" s="187"/>
      <c r="G43" s="188"/>
      <c r="H43" s="188"/>
      <c r="I43" s="189"/>
    </row>
    <row r="44" spans="1:9" ht="51" customHeight="1">
      <c r="A44" s="190" t="s">
        <v>50</v>
      </c>
      <c r="B44" s="191" t="s">
        <v>276</v>
      </c>
      <c r="C44" s="192" t="s">
        <v>14</v>
      </c>
      <c r="D44" s="193">
        <f>324.68*1.2</f>
        <v>389.616</v>
      </c>
      <c r="E44" s="194">
        <v>17.57</v>
      </c>
      <c r="F44" s="194">
        <v>6.93</v>
      </c>
      <c r="G44" s="195">
        <f>ROUND(D44*E44,2)</f>
        <v>6845.55</v>
      </c>
      <c r="H44" s="195">
        <f>ROUND(D44*F44,2)</f>
        <v>2700.04</v>
      </c>
      <c r="I44" s="196" t="s">
        <v>405</v>
      </c>
    </row>
    <row r="45" spans="1:9" s="151" customFormat="1" ht="30" customHeight="1">
      <c r="A45" s="197" t="s">
        <v>420</v>
      </c>
      <c r="B45" s="198" t="s">
        <v>598</v>
      </c>
      <c r="C45" s="199" t="s">
        <v>8</v>
      </c>
      <c r="D45" s="193">
        <f>+(22.79+9.09+5.36+13.04+6.05+15.14+1.8+1.65+1.93+11.35+2.14+2.14+5.15+2.14)*1.2</f>
        <v>119.724</v>
      </c>
      <c r="E45" s="194">
        <v>118.31</v>
      </c>
      <c r="F45" s="194">
        <v>119.41</v>
      </c>
      <c r="G45" s="200">
        <f>ROUND(D45*E45,2)</f>
        <v>14164.55</v>
      </c>
      <c r="H45" s="200">
        <f>ROUND(D45*F45,2)</f>
        <v>14296.24</v>
      </c>
      <c r="I45" s="196" t="s">
        <v>597</v>
      </c>
    </row>
    <row r="46" spans="1:9" ht="25.5" customHeight="1" thickBot="1">
      <c r="A46" s="322" t="s">
        <v>52</v>
      </c>
      <c r="B46" s="323"/>
      <c r="C46" s="323"/>
      <c r="D46" s="323"/>
      <c r="E46" s="323"/>
      <c r="F46" s="324"/>
      <c r="G46" s="170">
        <f>SUM(G44:G45)</f>
        <v>21010.1</v>
      </c>
      <c r="H46" s="170">
        <f>SUM(H44:H45)</f>
        <v>16996.28</v>
      </c>
      <c r="I46" s="171"/>
    </row>
    <row r="47" spans="1:18" ht="25.5" customHeight="1" thickBot="1">
      <c r="A47" s="298" t="s">
        <v>53</v>
      </c>
      <c r="B47" s="299"/>
      <c r="C47" s="299"/>
      <c r="D47" s="299"/>
      <c r="E47" s="299"/>
      <c r="F47" s="300"/>
      <c r="G47" s="301">
        <f>G46+H46</f>
        <v>38006.38</v>
      </c>
      <c r="H47" s="302"/>
      <c r="I47" s="153"/>
      <c r="J47" s="154"/>
      <c r="K47" s="154"/>
      <c r="L47" s="154"/>
      <c r="M47" s="154"/>
      <c r="N47" s="154"/>
      <c r="O47" s="154"/>
      <c r="P47" s="154"/>
      <c r="Q47" s="154"/>
      <c r="R47" s="154"/>
    </row>
    <row r="48" spans="1:18" ht="25.5" customHeight="1" thickBot="1">
      <c r="A48" s="57" t="s">
        <v>54</v>
      </c>
      <c r="B48" s="58" t="s">
        <v>49</v>
      </c>
      <c r="C48" s="59"/>
      <c r="D48" s="119"/>
      <c r="E48" s="105"/>
      <c r="F48" s="105"/>
      <c r="G48" s="93"/>
      <c r="H48" s="93"/>
      <c r="I48" s="164"/>
      <c r="J48" s="154"/>
      <c r="K48" s="154"/>
      <c r="L48" s="154"/>
      <c r="M48" s="154"/>
      <c r="N48" s="154"/>
      <c r="O48" s="154"/>
      <c r="P48" s="154"/>
      <c r="Q48" s="154"/>
      <c r="R48" s="154"/>
    </row>
    <row r="49" spans="1:18" ht="25.5" customHeight="1">
      <c r="A49" s="17" t="s">
        <v>56</v>
      </c>
      <c r="B49" s="46" t="s">
        <v>279</v>
      </c>
      <c r="C49" s="18" t="s">
        <v>8</v>
      </c>
      <c r="D49" s="193">
        <v>149.868</v>
      </c>
      <c r="E49" s="169">
        <v>6.22</v>
      </c>
      <c r="F49" s="169">
        <v>14.79</v>
      </c>
      <c r="G49" s="96">
        <f>ROUND(D49*E49,2)</f>
        <v>932.18</v>
      </c>
      <c r="H49" s="96">
        <f>ROUND(D49*F49,2)</f>
        <v>2216.55</v>
      </c>
      <c r="I49" s="165" t="s">
        <v>440</v>
      </c>
      <c r="J49" s="154"/>
      <c r="K49" s="154"/>
      <c r="L49" s="154"/>
      <c r="M49" s="154"/>
      <c r="N49" s="154"/>
      <c r="O49" s="154"/>
      <c r="P49" s="154"/>
      <c r="Q49" s="154"/>
      <c r="R49" s="154"/>
    </row>
    <row r="50" spans="1:18" ht="25.5" customHeight="1">
      <c r="A50" s="190"/>
      <c r="B50" s="202" t="s">
        <v>595</v>
      </c>
      <c r="C50" s="192" t="s">
        <v>8</v>
      </c>
      <c r="D50" s="193">
        <f>119.72*2+(22.79+9.09+5.36+13.04+6.05+15.14+1.8+1.65+1.93+11.35+2.14+2.14+5.15+2.14)*0.2</f>
        <v>259.394</v>
      </c>
      <c r="E50" s="194">
        <v>8.3</v>
      </c>
      <c r="F50" s="194">
        <v>1.72</v>
      </c>
      <c r="G50" s="195"/>
      <c r="H50" s="195"/>
      <c r="I50" s="203" t="s">
        <v>596</v>
      </c>
      <c r="J50" s="154"/>
      <c r="K50" s="154"/>
      <c r="L50" s="154"/>
      <c r="M50" s="154"/>
      <c r="N50" s="154"/>
      <c r="O50" s="154"/>
      <c r="P50" s="154"/>
      <c r="Q50" s="154"/>
      <c r="R50" s="154"/>
    </row>
    <row r="51" spans="1:18" ht="25.5" customHeight="1" thickBot="1">
      <c r="A51" s="322" t="s">
        <v>63</v>
      </c>
      <c r="B51" s="323"/>
      <c r="C51" s="323"/>
      <c r="D51" s="323"/>
      <c r="E51" s="323"/>
      <c r="F51" s="324"/>
      <c r="G51" s="170">
        <f>SUM(G49)</f>
        <v>932.18</v>
      </c>
      <c r="H51" s="170">
        <f>SUM(H49)</f>
        <v>2216.55</v>
      </c>
      <c r="I51" s="201"/>
      <c r="J51" s="154"/>
      <c r="K51" s="154"/>
      <c r="L51" s="154"/>
      <c r="M51" s="154"/>
      <c r="N51" s="154"/>
      <c r="O51" s="154"/>
      <c r="P51" s="154"/>
      <c r="Q51" s="154"/>
      <c r="R51" s="154"/>
    </row>
    <row r="52" spans="1:18" ht="25.5" customHeight="1" thickBot="1">
      <c r="A52" s="298" t="s">
        <v>64</v>
      </c>
      <c r="B52" s="299"/>
      <c r="C52" s="299"/>
      <c r="D52" s="299"/>
      <c r="E52" s="299"/>
      <c r="F52" s="300"/>
      <c r="G52" s="301">
        <f>G51+H51</f>
        <v>3148.73</v>
      </c>
      <c r="H52" s="302"/>
      <c r="I52" s="153"/>
      <c r="J52" s="154"/>
      <c r="K52" s="154"/>
      <c r="L52" s="154"/>
      <c r="M52" s="154"/>
      <c r="N52" s="154"/>
      <c r="O52" s="154"/>
      <c r="P52" s="154"/>
      <c r="Q52" s="154"/>
      <c r="R52" s="154"/>
    </row>
    <row r="53" spans="1:18" ht="25.5" customHeight="1" thickBot="1">
      <c r="A53" s="57" t="s">
        <v>65</v>
      </c>
      <c r="B53" s="58" t="s">
        <v>55</v>
      </c>
      <c r="C53" s="59"/>
      <c r="D53" s="119"/>
      <c r="E53" s="105"/>
      <c r="F53" s="105"/>
      <c r="G53" s="93"/>
      <c r="H53" s="93"/>
      <c r="I53" s="164"/>
      <c r="J53" s="154"/>
      <c r="K53" s="154"/>
      <c r="L53" s="154"/>
      <c r="M53" s="154"/>
      <c r="N53" s="154"/>
      <c r="O53" s="154"/>
      <c r="P53" s="154"/>
      <c r="Q53" s="154"/>
      <c r="R53" s="154"/>
    </row>
    <row r="54" spans="1:18" ht="25.5" customHeight="1">
      <c r="A54" s="19" t="s">
        <v>67</v>
      </c>
      <c r="B54" s="43" t="s">
        <v>57</v>
      </c>
      <c r="C54" s="16" t="s">
        <v>14</v>
      </c>
      <c r="D54" s="193">
        <v>5.67</v>
      </c>
      <c r="E54" s="104">
        <v>712.44</v>
      </c>
      <c r="F54" s="104">
        <v>333.1</v>
      </c>
      <c r="G54" s="92">
        <f>ROUND(D54*E54,2)</f>
        <v>4039.53</v>
      </c>
      <c r="H54" s="92">
        <f>ROUND(D54*F54,2)</f>
        <v>1888.68</v>
      </c>
      <c r="I54" s="147" t="s">
        <v>401</v>
      </c>
      <c r="J54" s="154"/>
      <c r="K54" s="154"/>
      <c r="L54" s="154"/>
      <c r="M54" s="154"/>
      <c r="N54" s="154"/>
      <c r="O54" s="154"/>
      <c r="P54" s="154"/>
      <c r="Q54" s="154"/>
      <c r="R54" s="154"/>
    </row>
    <row r="55" spans="1:18" ht="25.5" customHeight="1">
      <c r="A55" s="19" t="s">
        <v>68</v>
      </c>
      <c r="B55" s="43" t="s">
        <v>62</v>
      </c>
      <c r="C55" s="16" t="s">
        <v>14</v>
      </c>
      <c r="D55" s="193">
        <v>11.85</v>
      </c>
      <c r="E55" s="104">
        <v>712.44</v>
      </c>
      <c r="F55" s="104">
        <v>333.1</v>
      </c>
      <c r="G55" s="92">
        <f>ROUND(D55*E55,2)</f>
        <v>8442.41</v>
      </c>
      <c r="H55" s="92">
        <f>ROUND(D55*F55,2)</f>
        <v>3947.24</v>
      </c>
      <c r="I55" s="147" t="s">
        <v>401</v>
      </c>
      <c r="J55" s="154"/>
      <c r="K55" s="154"/>
      <c r="L55" s="154"/>
      <c r="M55" s="154"/>
      <c r="N55" s="154"/>
      <c r="O55" s="154"/>
      <c r="P55" s="154"/>
      <c r="Q55" s="154"/>
      <c r="R55" s="154"/>
    </row>
    <row r="56" spans="1:18" ht="25.5" customHeight="1">
      <c r="A56" s="19" t="s">
        <v>153</v>
      </c>
      <c r="B56" s="43" t="s">
        <v>403</v>
      </c>
      <c r="C56" s="16" t="s">
        <v>14</v>
      </c>
      <c r="D56" s="193">
        <v>28.08</v>
      </c>
      <c r="E56" s="104">
        <v>59.44</v>
      </c>
      <c r="F56" s="104">
        <v>39.49</v>
      </c>
      <c r="G56" s="92">
        <f>ROUND(D56*E56,2)</f>
        <v>1669.08</v>
      </c>
      <c r="H56" s="92">
        <f>ROUND(D56*F56,2)</f>
        <v>1108.88</v>
      </c>
      <c r="I56" s="147" t="s">
        <v>404</v>
      </c>
      <c r="J56" s="154"/>
      <c r="K56" s="154"/>
      <c r="L56" s="154"/>
      <c r="M56" s="154"/>
      <c r="N56" s="154"/>
      <c r="O56" s="154"/>
      <c r="P56" s="154"/>
      <c r="Q56" s="154"/>
      <c r="R56" s="154"/>
    </row>
    <row r="57" spans="1:18" ht="25.5" customHeight="1" thickBot="1">
      <c r="A57" s="19" t="s">
        <v>154</v>
      </c>
      <c r="B57" s="42" t="s">
        <v>59</v>
      </c>
      <c r="C57" s="18" t="s">
        <v>14</v>
      </c>
      <c r="D57" s="193">
        <f>+((3.05+3.13+3.5+3.13+3.05+3.13+3.2+6+2.3+6+6+6+3.2+6+5.35+6+3.2+6+3.2+6+5.6+10.06+2.96+8.05)*2+(2+2+1.95*10+5.35+2+2+6+2.3+2))*0.1*0.15</f>
        <v>4.070549999999999</v>
      </c>
      <c r="E57" s="104">
        <v>970.9</v>
      </c>
      <c r="F57" s="104">
        <v>641.36</v>
      </c>
      <c r="G57" s="92">
        <f>ROUND(D57*E57,2)</f>
        <v>3952.1</v>
      </c>
      <c r="H57" s="92">
        <f>ROUND(D57*F57,2)</f>
        <v>2610.69</v>
      </c>
      <c r="I57" s="152" t="s">
        <v>402</v>
      </c>
      <c r="J57" s="155"/>
      <c r="K57" s="156"/>
      <c r="L57" s="156"/>
      <c r="M57" s="157"/>
      <c r="N57" s="154"/>
      <c r="O57" s="154"/>
      <c r="P57" s="154"/>
      <c r="Q57" s="154"/>
      <c r="R57" s="154"/>
    </row>
    <row r="58" spans="1:18" ht="25.5" customHeight="1" thickBot="1">
      <c r="A58" s="298" t="s">
        <v>70</v>
      </c>
      <c r="B58" s="299"/>
      <c r="C58" s="299"/>
      <c r="D58" s="299"/>
      <c r="E58" s="299"/>
      <c r="F58" s="300"/>
      <c r="G58" s="94">
        <f>SUM(G54:G57)</f>
        <v>18103.12</v>
      </c>
      <c r="H58" s="94">
        <f>SUM(H54:H57)</f>
        <v>9555.49</v>
      </c>
      <c r="I58" s="149"/>
      <c r="J58" s="154"/>
      <c r="K58" s="154"/>
      <c r="L58" s="154"/>
      <c r="M58" s="154"/>
      <c r="N58" s="154"/>
      <c r="O58" s="154"/>
      <c r="P58" s="154"/>
      <c r="Q58" s="154"/>
      <c r="R58" s="154"/>
    </row>
    <row r="59" spans="1:18" ht="25.5" customHeight="1" thickBot="1">
      <c r="A59" s="298" t="s">
        <v>71</v>
      </c>
      <c r="B59" s="299"/>
      <c r="C59" s="299"/>
      <c r="D59" s="299"/>
      <c r="E59" s="299"/>
      <c r="F59" s="300"/>
      <c r="G59" s="301">
        <f>G58+H58</f>
        <v>27658.61</v>
      </c>
      <c r="H59" s="302"/>
      <c r="I59" s="153"/>
      <c r="J59" s="154"/>
      <c r="K59" s="154"/>
      <c r="L59" s="154"/>
      <c r="M59" s="154"/>
      <c r="N59" s="154"/>
      <c r="O59" s="154"/>
      <c r="P59" s="154"/>
      <c r="Q59" s="154"/>
      <c r="R59" s="154"/>
    </row>
    <row r="60" spans="1:18" ht="25.5" customHeight="1" thickBot="1">
      <c r="A60" s="57" t="s">
        <v>72</v>
      </c>
      <c r="B60" s="58" t="s">
        <v>66</v>
      </c>
      <c r="C60" s="59"/>
      <c r="D60" s="119"/>
      <c r="E60" s="105"/>
      <c r="F60" s="105"/>
      <c r="G60" s="93"/>
      <c r="H60" s="93"/>
      <c r="I60" s="164"/>
      <c r="J60" s="154"/>
      <c r="K60" s="154"/>
      <c r="L60" s="154"/>
      <c r="M60" s="154"/>
      <c r="N60" s="154"/>
      <c r="O60" s="154"/>
      <c r="P60" s="154"/>
      <c r="Q60" s="154"/>
      <c r="R60" s="154"/>
    </row>
    <row r="61" spans="1:18" ht="25.5" customHeight="1" thickBot="1">
      <c r="A61" s="19" t="s">
        <v>73</v>
      </c>
      <c r="B61" s="43" t="s">
        <v>69</v>
      </c>
      <c r="C61" s="59" t="s">
        <v>8</v>
      </c>
      <c r="D61" s="193">
        <f>(26.3+26.3+5.3*4+3.5+17.8*3+5.05*8+3.3*2+1.1*2+5.3+19.25+13.19+7.75*2+3.26)*4.2</f>
        <v>992.88</v>
      </c>
      <c r="E61" s="104">
        <v>11.83</v>
      </c>
      <c r="F61" s="104">
        <v>19.66</v>
      </c>
      <c r="G61" s="92">
        <f>ROUND(D61*E61,2)</f>
        <v>11745.77</v>
      </c>
      <c r="H61" s="92">
        <f>ROUND(D61*F61,2)</f>
        <v>19520.02</v>
      </c>
      <c r="I61" s="147" t="s">
        <v>441</v>
      </c>
      <c r="J61" s="154"/>
      <c r="K61" s="154"/>
      <c r="L61" s="154"/>
      <c r="M61" s="154"/>
      <c r="N61" s="154"/>
      <c r="O61" s="154"/>
      <c r="P61" s="154"/>
      <c r="Q61" s="154"/>
      <c r="R61" s="154"/>
    </row>
    <row r="62" spans="1:18" ht="25.5" customHeight="1" thickBot="1">
      <c r="A62" s="19" t="s">
        <v>413</v>
      </c>
      <c r="B62" s="43" t="s">
        <v>370</v>
      </c>
      <c r="C62" s="59" t="s">
        <v>8</v>
      </c>
      <c r="D62" s="193">
        <f>+(2*0.8+5.3*0.8+2*0.8+2*0.6*2+2*0.8+11.5*0.8+2*0.8)</f>
        <v>22.240000000000002</v>
      </c>
      <c r="E62" s="104">
        <v>57.7</v>
      </c>
      <c r="F62" s="104">
        <v>36.56</v>
      </c>
      <c r="G62" s="92">
        <f>ROUND(D62*E62,2)</f>
        <v>1283.25</v>
      </c>
      <c r="H62" s="92">
        <f>ROUND(D62*F62,2)</f>
        <v>813.09</v>
      </c>
      <c r="I62" s="166" t="s">
        <v>443</v>
      </c>
      <c r="J62" s="154"/>
      <c r="K62" s="154"/>
      <c r="L62" s="154"/>
      <c r="M62" s="154"/>
      <c r="N62" s="154"/>
      <c r="O62" s="154"/>
      <c r="P62" s="154"/>
      <c r="Q62" s="154"/>
      <c r="R62" s="154"/>
    </row>
    <row r="63" spans="1:18" ht="25.5" customHeight="1" thickBot="1">
      <c r="A63" s="298" t="s">
        <v>78</v>
      </c>
      <c r="B63" s="299"/>
      <c r="C63" s="299"/>
      <c r="D63" s="299"/>
      <c r="E63" s="299"/>
      <c r="F63" s="300"/>
      <c r="G63" s="94">
        <f>SUM(G61:G62)</f>
        <v>13029.02</v>
      </c>
      <c r="H63" s="94">
        <f>SUM(H61:H62)</f>
        <v>20333.11</v>
      </c>
      <c r="I63" s="149"/>
      <c r="J63" s="154"/>
      <c r="K63" s="154"/>
      <c r="L63" s="154"/>
      <c r="M63" s="154"/>
      <c r="N63" s="154"/>
      <c r="O63" s="154"/>
      <c r="P63" s="154"/>
      <c r="Q63" s="154"/>
      <c r="R63" s="154"/>
    </row>
    <row r="64" spans="1:9" ht="25.5" customHeight="1" thickBot="1">
      <c r="A64" s="298" t="s">
        <v>79</v>
      </c>
      <c r="B64" s="299"/>
      <c r="C64" s="299"/>
      <c r="D64" s="299"/>
      <c r="E64" s="299"/>
      <c r="F64" s="300"/>
      <c r="G64" s="301">
        <f>G63+H63</f>
        <v>33362.130000000005</v>
      </c>
      <c r="H64" s="302"/>
      <c r="I64" s="66"/>
    </row>
    <row r="65" spans="1:9" ht="25.5" customHeight="1" thickBot="1">
      <c r="A65" s="57" t="s">
        <v>80</v>
      </c>
      <c r="B65" s="58" t="s">
        <v>548</v>
      </c>
      <c r="C65" s="59"/>
      <c r="D65" s="119"/>
      <c r="E65" s="105"/>
      <c r="F65" s="105"/>
      <c r="G65" s="93"/>
      <c r="H65" s="93"/>
      <c r="I65" s="65"/>
    </row>
    <row r="66" spans="1:9" ht="25.5" customHeight="1">
      <c r="A66" s="19" t="s">
        <v>82</v>
      </c>
      <c r="B66" s="43" t="s">
        <v>550</v>
      </c>
      <c r="C66" s="16" t="s">
        <v>8</v>
      </c>
      <c r="D66" s="193">
        <f>139.39+94.02+178.97</f>
        <v>412.38</v>
      </c>
      <c r="E66" s="104">
        <v>45.15</v>
      </c>
      <c r="F66" s="104">
        <v>19.35</v>
      </c>
      <c r="G66" s="92">
        <f>ROUND(D66*E66,2)</f>
        <v>18618.96</v>
      </c>
      <c r="H66" s="92">
        <f>ROUND(D66*F66,2)</f>
        <v>7979.55</v>
      </c>
      <c r="I66" s="26" t="s">
        <v>406</v>
      </c>
    </row>
    <row r="67" spans="1:9" s="168" customFormat="1" ht="25.5" customHeight="1">
      <c r="A67" s="19" t="s">
        <v>84</v>
      </c>
      <c r="B67" s="136" t="s">
        <v>549</v>
      </c>
      <c r="C67" s="137" t="s">
        <v>8</v>
      </c>
      <c r="D67" s="193">
        <f>139.39+94.02+178.97</f>
        <v>412.38</v>
      </c>
      <c r="E67" s="104">
        <v>18.7</v>
      </c>
      <c r="F67" s="104">
        <v>5.38</v>
      </c>
      <c r="G67" s="139">
        <f>ROUND(D67*E67,2)</f>
        <v>7711.51</v>
      </c>
      <c r="H67" s="139">
        <f>ROUND(D67*F67,2)</f>
        <v>2218.6</v>
      </c>
      <c r="I67" s="142" t="s">
        <v>590</v>
      </c>
    </row>
    <row r="68" spans="1:9" ht="25.5" customHeight="1">
      <c r="A68" s="19" t="s">
        <v>86</v>
      </c>
      <c r="B68" s="43" t="s">
        <v>76</v>
      </c>
      <c r="C68" s="16" t="s">
        <v>39</v>
      </c>
      <c r="D68" s="193">
        <f>26.15+17.5+22.06</f>
        <v>65.71</v>
      </c>
      <c r="E68" s="104">
        <v>11.38</v>
      </c>
      <c r="F68" s="104">
        <v>40.4</v>
      </c>
      <c r="G68" s="92">
        <f>ROUND(D68*E68,2)</f>
        <v>747.78</v>
      </c>
      <c r="H68" s="92">
        <f>ROUND(D68*F68,2)</f>
        <v>2654.68</v>
      </c>
      <c r="I68" s="77" t="s">
        <v>444</v>
      </c>
    </row>
    <row r="69" spans="1:9" ht="25.5" customHeight="1" thickBot="1">
      <c r="A69" s="19" t="s">
        <v>88</v>
      </c>
      <c r="B69" s="43" t="s">
        <v>77</v>
      </c>
      <c r="C69" s="18" t="s">
        <v>39</v>
      </c>
      <c r="D69" s="193">
        <f>26.15*2+17.5*2+5*6+5.3+7.75+4.41+2.3+12.89</f>
        <v>149.95</v>
      </c>
      <c r="E69" s="104">
        <v>5.78</v>
      </c>
      <c r="F69" s="104">
        <v>12.22</v>
      </c>
      <c r="G69" s="92">
        <f>ROUND(D69*E69,2)</f>
        <v>866.71</v>
      </c>
      <c r="H69" s="92">
        <f>ROUND(D69*F69,2)</f>
        <v>1832.39</v>
      </c>
      <c r="I69" s="77" t="s">
        <v>445</v>
      </c>
    </row>
    <row r="70" spans="1:9" ht="25.5" customHeight="1" thickBot="1">
      <c r="A70" s="298" t="s">
        <v>97</v>
      </c>
      <c r="B70" s="299"/>
      <c r="C70" s="299"/>
      <c r="D70" s="299"/>
      <c r="E70" s="299"/>
      <c r="F70" s="300"/>
      <c r="G70" s="94">
        <f>SUM(G66:G69)</f>
        <v>27944.96</v>
      </c>
      <c r="H70" s="94">
        <f>SUM(H66:H69)</f>
        <v>14685.22</v>
      </c>
      <c r="I70" s="67"/>
    </row>
    <row r="71" spans="1:9" ht="25.5" customHeight="1" thickBot="1">
      <c r="A71" s="298" t="s">
        <v>98</v>
      </c>
      <c r="B71" s="299"/>
      <c r="C71" s="299"/>
      <c r="D71" s="299"/>
      <c r="E71" s="299"/>
      <c r="F71" s="300"/>
      <c r="G71" s="301">
        <f>G70+H70</f>
        <v>42630.18</v>
      </c>
      <c r="H71" s="302"/>
      <c r="I71" s="66"/>
    </row>
    <row r="72" spans="1:9" ht="25.5" customHeight="1" thickBot="1">
      <c r="A72" s="57" t="s">
        <v>99</v>
      </c>
      <c r="B72" s="58" t="s">
        <v>551</v>
      </c>
      <c r="C72" s="59"/>
      <c r="D72" s="119"/>
      <c r="E72" s="105"/>
      <c r="F72" s="105"/>
      <c r="G72" s="93"/>
      <c r="H72" s="93"/>
      <c r="I72" s="65"/>
    </row>
    <row r="73" spans="1:9" ht="25.5" customHeight="1">
      <c r="A73" s="19" t="s">
        <v>101</v>
      </c>
      <c r="B73" s="43" t="s">
        <v>76</v>
      </c>
      <c r="C73" s="16" t="s">
        <v>39</v>
      </c>
      <c r="D73" s="193">
        <f>16.9+14.05*2</f>
        <v>45</v>
      </c>
      <c r="E73" s="104">
        <v>11.38</v>
      </c>
      <c r="F73" s="104">
        <v>40.4</v>
      </c>
      <c r="G73" s="92">
        <f>ROUND(D73*E73,2)</f>
        <v>512.1</v>
      </c>
      <c r="H73" s="92">
        <f>ROUND(D73*F73,2)</f>
        <v>1818</v>
      </c>
      <c r="I73" s="77" t="s">
        <v>444</v>
      </c>
    </row>
    <row r="74" spans="1:9" ht="25.5" customHeight="1">
      <c r="A74" s="19" t="s">
        <v>102</v>
      </c>
      <c r="B74" s="43" t="s">
        <v>288</v>
      </c>
      <c r="C74" s="16" t="s">
        <v>8</v>
      </c>
      <c r="D74" s="193">
        <f>+(16.9*2+14.05*2)*1.2</f>
        <v>74.28</v>
      </c>
      <c r="E74" s="104">
        <v>28.7</v>
      </c>
      <c r="F74" s="104">
        <v>66.98</v>
      </c>
      <c r="G74" s="92">
        <f>ROUND(D74*E74,2)</f>
        <v>2131.84</v>
      </c>
      <c r="H74" s="92">
        <f>ROUND(D74*F74,2)</f>
        <v>4975.27</v>
      </c>
      <c r="I74" s="77" t="s">
        <v>407</v>
      </c>
    </row>
    <row r="75" spans="1:9" ht="25.5" customHeight="1">
      <c r="A75" s="19" t="s">
        <v>414</v>
      </c>
      <c r="B75" s="43" t="s">
        <v>552</v>
      </c>
      <c r="C75" s="16" t="s">
        <v>8</v>
      </c>
      <c r="D75" s="193">
        <f>+(16.9*2+14.05*2)*1.5</f>
        <v>92.85</v>
      </c>
      <c r="E75" s="104">
        <v>249.37</v>
      </c>
      <c r="F75" s="104">
        <v>33.44</v>
      </c>
      <c r="G75" s="92">
        <f>ROUND(D75*E75,2)</f>
        <v>23154</v>
      </c>
      <c r="H75" s="92">
        <f>ROUND(D75*F75,2)</f>
        <v>3104.9</v>
      </c>
      <c r="I75" s="77" t="s">
        <v>463</v>
      </c>
    </row>
    <row r="76" spans="1:9" ht="25.5" customHeight="1" thickBot="1">
      <c r="A76" s="19" t="s">
        <v>103</v>
      </c>
      <c r="B76" s="43" t="s">
        <v>77</v>
      </c>
      <c r="C76" s="16" t="s">
        <v>39</v>
      </c>
      <c r="D76" s="193">
        <f>16.9*2+14.05*2</f>
        <v>61.9</v>
      </c>
      <c r="E76" s="104">
        <v>5.78</v>
      </c>
      <c r="F76" s="104">
        <v>12.22</v>
      </c>
      <c r="G76" s="92">
        <f>ROUND(D76*E76,2)</f>
        <v>357.78</v>
      </c>
      <c r="H76" s="92">
        <f>ROUND(D76*F76,2)</f>
        <v>756.42</v>
      </c>
      <c r="I76" s="77" t="s">
        <v>445</v>
      </c>
    </row>
    <row r="77" spans="1:9" ht="25.5" customHeight="1" thickBot="1">
      <c r="A77" s="298" t="s">
        <v>105</v>
      </c>
      <c r="B77" s="299"/>
      <c r="C77" s="299"/>
      <c r="D77" s="299"/>
      <c r="E77" s="299"/>
      <c r="F77" s="300"/>
      <c r="G77" s="94">
        <f>SUM(G73:G76)</f>
        <v>26155.719999999998</v>
      </c>
      <c r="H77" s="94">
        <f>SUM(H73:H76)</f>
        <v>10654.59</v>
      </c>
      <c r="I77" s="67"/>
    </row>
    <row r="78" spans="1:9" ht="25.5" customHeight="1" thickBot="1">
      <c r="A78" s="298" t="s">
        <v>106</v>
      </c>
      <c r="B78" s="299"/>
      <c r="C78" s="299"/>
      <c r="D78" s="299"/>
      <c r="E78" s="299"/>
      <c r="F78" s="300"/>
      <c r="G78" s="301">
        <f>G77+H77</f>
        <v>36810.31</v>
      </c>
      <c r="H78" s="302"/>
      <c r="I78" s="66"/>
    </row>
    <row r="79" spans="1:9" ht="25.5" customHeight="1" thickBot="1">
      <c r="A79" s="57" t="s">
        <v>107</v>
      </c>
      <c r="B79" s="58" t="s">
        <v>289</v>
      </c>
      <c r="C79" s="59"/>
      <c r="D79" s="119"/>
      <c r="E79" s="105"/>
      <c r="F79" s="105"/>
      <c r="G79" s="93"/>
      <c r="H79" s="93"/>
      <c r="I79" s="65"/>
    </row>
    <row r="80" spans="1:9" s="1" customFormat="1" ht="66" customHeight="1">
      <c r="A80" s="25" t="s">
        <v>109</v>
      </c>
      <c r="B80" s="50" t="s">
        <v>290</v>
      </c>
      <c r="C80" s="26" t="s">
        <v>8</v>
      </c>
      <c r="D80" s="193">
        <f>37.06+17.85+21.76+5.88+22.19</f>
        <v>104.74</v>
      </c>
      <c r="E80" s="104">
        <v>135</v>
      </c>
      <c r="F80" s="104">
        <v>55</v>
      </c>
      <c r="G80" s="92">
        <f>ROUND(D80*E80,2)</f>
        <v>14139.9</v>
      </c>
      <c r="H80" s="92">
        <f>ROUND(D80*F80,2)</f>
        <v>5760.7</v>
      </c>
      <c r="I80" s="11" t="s">
        <v>408</v>
      </c>
    </row>
    <row r="81" spans="1:153" ht="25.5" customHeight="1">
      <c r="A81" s="25" t="s">
        <v>157</v>
      </c>
      <c r="B81" s="50" t="s">
        <v>371</v>
      </c>
      <c r="C81" s="26" t="s">
        <v>39</v>
      </c>
      <c r="D81" s="193">
        <f>31.04+14.65+12.09+9.9+9.8</f>
        <v>77.48</v>
      </c>
      <c r="E81" s="104">
        <v>11.38</v>
      </c>
      <c r="F81" s="104">
        <v>40.4</v>
      </c>
      <c r="G81" s="92">
        <f>ROUND(D81*E81,2)</f>
        <v>881.72</v>
      </c>
      <c r="H81" s="92">
        <f>ROUND(D81*F81,2)</f>
        <v>3130.19</v>
      </c>
      <c r="I81" s="147" t="s">
        <v>444</v>
      </c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1"/>
      <c r="DI81" s="151"/>
      <c r="DJ81" s="151"/>
      <c r="DK81" s="151"/>
      <c r="DL81" s="151"/>
      <c r="DM81" s="151"/>
      <c r="DN81" s="151"/>
      <c r="DO81" s="151"/>
      <c r="DP81" s="151"/>
      <c r="DQ81" s="151"/>
      <c r="DR81" s="151"/>
      <c r="DS81" s="151"/>
      <c r="DT81" s="151"/>
      <c r="DU81" s="151"/>
      <c r="DV81" s="151"/>
      <c r="DW81" s="151"/>
      <c r="DX81" s="151"/>
      <c r="DY81" s="151"/>
      <c r="DZ81" s="151"/>
      <c r="EA81" s="151"/>
      <c r="EB81" s="151"/>
      <c r="EC81" s="151"/>
      <c r="ED81" s="151"/>
      <c r="EE81" s="151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1"/>
      <c r="ES81" s="151"/>
      <c r="ET81" s="151"/>
      <c r="EU81" s="151"/>
      <c r="EV81" s="151"/>
      <c r="EW81" s="151"/>
    </row>
    <row r="82" spans="1:256" ht="25.5" customHeight="1">
      <c r="A82" s="25" t="s">
        <v>158</v>
      </c>
      <c r="B82" s="50" t="s">
        <v>77</v>
      </c>
      <c r="C82" s="26" t="s">
        <v>2</v>
      </c>
      <c r="D82" s="193">
        <f>20.6+12.09+12.09+12.09+2.75+9.48+3.5+9.5</f>
        <v>82.10000000000001</v>
      </c>
      <c r="E82" s="104">
        <v>5.78</v>
      </c>
      <c r="F82" s="104">
        <v>12.22</v>
      </c>
      <c r="G82" s="92">
        <f>ROUND(D82*E82,2)</f>
        <v>474.54</v>
      </c>
      <c r="H82" s="92">
        <f>ROUND(D82*F82,2)</f>
        <v>1003.26</v>
      </c>
      <c r="I82" s="147" t="s">
        <v>445</v>
      </c>
      <c r="J82" s="145"/>
      <c r="K82" s="144"/>
      <c r="L82" s="145"/>
      <c r="M82" s="144"/>
      <c r="N82" s="145"/>
      <c r="O82" s="144"/>
      <c r="P82" s="145"/>
      <c r="Q82" s="144"/>
      <c r="R82" s="145"/>
      <c r="S82" s="144"/>
      <c r="T82" s="145"/>
      <c r="U82" s="144"/>
      <c r="V82" s="145"/>
      <c r="W82" s="144"/>
      <c r="X82" s="145"/>
      <c r="Y82" s="144"/>
      <c r="Z82" s="145"/>
      <c r="AA82" s="144"/>
      <c r="AB82" s="145"/>
      <c r="AC82" s="144"/>
      <c r="AD82" s="145"/>
      <c r="AE82" s="144"/>
      <c r="AF82" s="145"/>
      <c r="AG82" s="144"/>
      <c r="AH82" s="145"/>
      <c r="AI82" s="144"/>
      <c r="AJ82" s="145"/>
      <c r="AK82" s="144"/>
      <c r="AL82" s="145"/>
      <c r="AM82" s="144"/>
      <c r="AN82" s="145"/>
      <c r="AO82" s="144"/>
      <c r="AP82" s="145"/>
      <c r="AQ82" s="144"/>
      <c r="AR82" s="145"/>
      <c r="AS82" s="144"/>
      <c r="AT82" s="145"/>
      <c r="AU82" s="144"/>
      <c r="AV82" s="145"/>
      <c r="AW82" s="144"/>
      <c r="AX82" s="145"/>
      <c r="AY82" s="144"/>
      <c r="AZ82" s="145"/>
      <c r="BA82" s="144"/>
      <c r="BB82" s="145"/>
      <c r="BC82" s="144"/>
      <c r="BD82" s="145"/>
      <c r="BE82" s="144"/>
      <c r="BF82" s="145"/>
      <c r="BG82" s="144"/>
      <c r="BH82" s="145"/>
      <c r="BI82" s="144"/>
      <c r="BJ82" s="145"/>
      <c r="BK82" s="144"/>
      <c r="BL82" s="145"/>
      <c r="BM82" s="144"/>
      <c r="BN82" s="145"/>
      <c r="BO82" s="144"/>
      <c r="BP82" s="145"/>
      <c r="BQ82" s="144"/>
      <c r="BR82" s="145"/>
      <c r="BS82" s="144"/>
      <c r="BT82" s="145"/>
      <c r="BU82" s="144"/>
      <c r="BV82" s="145"/>
      <c r="BW82" s="144"/>
      <c r="BX82" s="145"/>
      <c r="BY82" s="144"/>
      <c r="BZ82" s="145"/>
      <c r="CA82" s="144"/>
      <c r="CB82" s="145"/>
      <c r="CC82" s="144"/>
      <c r="CD82" s="145"/>
      <c r="CE82" s="144"/>
      <c r="CF82" s="145"/>
      <c r="CG82" s="144"/>
      <c r="CH82" s="145"/>
      <c r="CI82" s="144"/>
      <c r="CJ82" s="145"/>
      <c r="CK82" s="144"/>
      <c r="CL82" s="145"/>
      <c r="CM82" s="144"/>
      <c r="CN82" s="145"/>
      <c r="CO82" s="144"/>
      <c r="CP82" s="145"/>
      <c r="CQ82" s="144"/>
      <c r="CR82" s="145"/>
      <c r="CS82" s="144"/>
      <c r="CT82" s="145"/>
      <c r="CU82" s="144"/>
      <c r="CV82" s="145"/>
      <c r="CW82" s="144"/>
      <c r="CX82" s="145"/>
      <c r="CY82" s="144"/>
      <c r="CZ82" s="145"/>
      <c r="DA82" s="144"/>
      <c r="DB82" s="145"/>
      <c r="DC82" s="144"/>
      <c r="DD82" s="145"/>
      <c r="DE82" s="144"/>
      <c r="DF82" s="145"/>
      <c r="DG82" s="144"/>
      <c r="DH82" s="145"/>
      <c r="DI82" s="144"/>
      <c r="DJ82" s="145"/>
      <c r="DK82" s="144"/>
      <c r="DL82" s="145"/>
      <c r="DM82" s="144"/>
      <c r="DN82" s="145"/>
      <c r="DO82" s="144"/>
      <c r="DP82" s="145"/>
      <c r="DQ82" s="144"/>
      <c r="DR82" s="145"/>
      <c r="DS82" s="144"/>
      <c r="DT82" s="145"/>
      <c r="DU82" s="144"/>
      <c r="DV82" s="145"/>
      <c r="DW82" s="144"/>
      <c r="DX82" s="145"/>
      <c r="DY82" s="144"/>
      <c r="DZ82" s="145"/>
      <c r="EA82" s="144"/>
      <c r="EB82" s="145"/>
      <c r="EC82" s="144"/>
      <c r="ED82" s="145"/>
      <c r="EE82" s="144"/>
      <c r="EF82" s="145"/>
      <c r="EG82" s="144"/>
      <c r="EH82" s="145"/>
      <c r="EI82" s="144"/>
      <c r="EJ82" s="145"/>
      <c r="EK82" s="144"/>
      <c r="EL82" s="145"/>
      <c r="EM82" s="144"/>
      <c r="EN82" s="145"/>
      <c r="EO82" s="144"/>
      <c r="EP82" s="145"/>
      <c r="EQ82" s="144"/>
      <c r="ER82" s="145"/>
      <c r="ES82" s="144"/>
      <c r="ET82" s="145"/>
      <c r="EU82" s="144"/>
      <c r="EV82" s="145"/>
      <c r="EW82" s="144"/>
      <c r="EX82" s="150" t="s">
        <v>77</v>
      </c>
      <c r="EY82" s="129" t="s">
        <v>158</v>
      </c>
      <c r="EZ82" s="130" t="s">
        <v>77</v>
      </c>
      <c r="FA82" s="129" t="s">
        <v>158</v>
      </c>
      <c r="FB82" s="130" t="s">
        <v>77</v>
      </c>
      <c r="FC82" s="129" t="s">
        <v>158</v>
      </c>
      <c r="FD82" s="130" t="s">
        <v>77</v>
      </c>
      <c r="FE82" s="129" t="s">
        <v>158</v>
      </c>
      <c r="FF82" s="130" t="s">
        <v>77</v>
      </c>
      <c r="FG82" s="129" t="s">
        <v>158</v>
      </c>
      <c r="FH82" s="130" t="s">
        <v>77</v>
      </c>
      <c r="FI82" s="129" t="s">
        <v>158</v>
      </c>
      <c r="FJ82" s="130" t="s">
        <v>77</v>
      </c>
      <c r="FK82" s="129" t="s">
        <v>158</v>
      </c>
      <c r="FL82" s="130" t="s">
        <v>77</v>
      </c>
      <c r="FM82" s="129" t="s">
        <v>158</v>
      </c>
      <c r="FN82" s="130" t="s">
        <v>77</v>
      </c>
      <c r="FO82" s="129" t="s">
        <v>158</v>
      </c>
      <c r="FP82" s="130" t="s">
        <v>77</v>
      </c>
      <c r="FQ82" s="129" t="s">
        <v>158</v>
      </c>
      <c r="FR82" s="130" t="s">
        <v>77</v>
      </c>
      <c r="FS82" s="129" t="s">
        <v>158</v>
      </c>
      <c r="FT82" s="130" t="s">
        <v>77</v>
      </c>
      <c r="FU82" s="129" t="s">
        <v>158</v>
      </c>
      <c r="FV82" s="130" t="s">
        <v>77</v>
      </c>
      <c r="FW82" s="129" t="s">
        <v>158</v>
      </c>
      <c r="FX82" s="130" t="s">
        <v>77</v>
      </c>
      <c r="FY82" s="129" t="s">
        <v>158</v>
      </c>
      <c r="FZ82" s="130" t="s">
        <v>77</v>
      </c>
      <c r="GA82" s="129" t="s">
        <v>158</v>
      </c>
      <c r="GB82" s="130" t="s">
        <v>77</v>
      </c>
      <c r="GC82" s="129" t="s">
        <v>158</v>
      </c>
      <c r="GD82" s="130" t="s">
        <v>77</v>
      </c>
      <c r="GE82" s="129" t="s">
        <v>158</v>
      </c>
      <c r="GF82" s="130" t="s">
        <v>77</v>
      </c>
      <c r="GG82" s="129" t="s">
        <v>158</v>
      </c>
      <c r="GH82" s="130" t="s">
        <v>77</v>
      </c>
      <c r="GI82" s="129" t="s">
        <v>158</v>
      </c>
      <c r="GJ82" s="130" t="s">
        <v>77</v>
      </c>
      <c r="GK82" s="129" t="s">
        <v>158</v>
      </c>
      <c r="GL82" s="130" t="s">
        <v>77</v>
      </c>
      <c r="GM82" s="129" t="s">
        <v>158</v>
      </c>
      <c r="GN82" s="130" t="s">
        <v>77</v>
      </c>
      <c r="GO82" s="129" t="s">
        <v>158</v>
      </c>
      <c r="GP82" s="130" t="s">
        <v>77</v>
      </c>
      <c r="GQ82" s="129" t="s">
        <v>158</v>
      </c>
      <c r="GR82" s="130" t="s">
        <v>77</v>
      </c>
      <c r="GS82" s="129" t="s">
        <v>158</v>
      </c>
      <c r="GT82" s="130" t="s">
        <v>77</v>
      </c>
      <c r="GU82" s="129" t="s">
        <v>158</v>
      </c>
      <c r="GV82" s="130" t="s">
        <v>77</v>
      </c>
      <c r="GW82" s="129" t="s">
        <v>158</v>
      </c>
      <c r="GX82" s="130" t="s">
        <v>77</v>
      </c>
      <c r="GY82" s="129" t="s">
        <v>158</v>
      </c>
      <c r="GZ82" s="130" t="s">
        <v>77</v>
      </c>
      <c r="HA82" s="129" t="s">
        <v>158</v>
      </c>
      <c r="HB82" s="130" t="s">
        <v>77</v>
      </c>
      <c r="HC82" s="129" t="s">
        <v>158</v>
      </c>
      <c r="HD82" s="130" t="s">
        <v>77</v>
      </c>
      <c r="HE82" s="129" t="s">
        <v>158</v>
      </c>
      <c r="HF82" s="130" t="s">
        <v>77</v>
      </c>
      <c r="HG82" s="129" t="s">
        <v>158</v>
      </c>
      <c r="HH82" s="130" t="s">
        <v>77</v>
      </c>
      <c r="HI82" s="129" t="s">
        <v>158</v>
      </c>
      <c r="HJ82" s="130" t="s">
        <v>77</v>
      </c>
      <c r="HK82" s="129" t="s">
        <v>158</v>
      </c>
      <c r="HL82" s="130" t="s">
        <v>77</v>
      </c>
      <c r="HM82" s="129" t="s">
        <v>158</v>
      </c>
      <c r="HN82" s="130" t="s">
        <v>77</v>
      </c>
      <c r="HO82" s="129" t="s">
        <v>158</v>
      </c>
      <c r="HP82" s="130" t="s">
        <v>77</v>
      </c>
      <c r="HQ82" s="129" t="s">
        <v>158</v>
      </c>
      <c r="HR82" s="130" t="s">
        <v>77</v>
      </c>
      <c r="HS82" s="129" t="s">
        <v>158</v>
      </c>
      <c r="HT82" s="130" t="s">
        <v>77</v>
      </c>
      <c r="HU82" s="129" t="s">
        <v>158</v>
      </c>
      <c r="HV82" s="130" t="s">
        <v>77</v>
      </c>
      <c r="HW82" s="129" t="s">
        <v>158</v>
      </c>
      <c r="HX82" s="130" t="s">
        <v>77</v>
      </c>
      <c r="HY82" s="129" t="s">
        <v>158</v>
      </c>
      <c r="HZ82" s="130" t="s">
        <v>77</v>
      </c>
      <c r="IA82" s="129" t="s">
        <v>158</v>
      </c>
      <c r="IB82" s="130" t="s">
        <v>77</v>
      </c>
      <c r="IC82" s="129" t="s">
        <v>158</v>
      </c>
      <c r="ID82" s="130" t="s">
        <v>77</v>
      </c>
      <c r="IE82" s="129" t="s">
        <v>158</v>
      </c>
      <c r="IF82" s="130" t="s">
        <v>77</v>
      </c>
      <c r="IG82" s="129" t="s">
        <v>158</v>
      </c>
      <c r="IH82" s="130" t="s">
        <v>77</v>
      </c>
      <c r="II82" s="129" t="s">
        <v>158</v>
      </c>
      <c r="IJ82" s="130" t="s">
        <v>77</v>
      </c>
      <c r="IK82" s="129" t="s">
        <v>158</v>
      </c>
      <c r="IL82" s="130" t="s">
        <v>77</v>
      </c>
      <c r="IM82" s="129" t="s">
        <v>158</v>
      </c>
      <c r="IN82" s="130" t="s">
        <v>77</v>
      </c>
      <c r="IO82" s="129" t="s">
        <v>158</v>
      </c>
      <c r="IP82" s="130" t="s">
        <v>77</v>
      </c>
      <c r="IQ82" s="129" t="s">
        <v>158</v>
      </c>
      <c r="IR82" s="130" t="s">
        <v>77</v>
      </c>
      <c r="IS82" s="129" t="s">
        <v>158</v>
      </c>
      <c r="IT82" s="130" t="s">
        <v>77</v>
      </c>
      <c r="IU82" s="129" t="s">
        <v>158</v>
      </c>
      <c r="IV82" s="130" t="s">
        <v>77</v>
      </c>
    </row>
    <row r="83" spans="1:153" ht="25.5" customHeight="1" thickBot="1">
      <c r="A83" s="25" t="s">
        <v>159</v>
      </c>
      <c r="B83" s="50" t="s">
        <v>173</v>
      </c>
      <c r="C83" s="26" t="s">
        <v>39</v>
      </c>
      <c r="D83" s="193">
        <f>1.65+6.56+1+11.1+11.1+6.56+4.5+11.26+1.58+1.58+6.56</f>
        <v>63.449999999999996</v>
      </c>
      <c r="E83" s="104">
        <v>50.73</v>
      </c>
      <c r="F83" s="104">
        <v>9.53</v>
      </c>
      <c r="G83" s="92">
        <f>ROUND(D83*E83,2)</f>
        <v>3218.82</v>
      </c>
      <c r="H83" s="92">
        <f>ROUND(D83*F83,2)</f>
        <v>604.68</v>
      </c>
      <c r="I83" s="148" t="s">
        <v>600</v>
      </c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151"/>
      <c r="DA83" s="151"/>
      <c r="DB83" s="151"/>
      <c r="DC83" s="151"/>
      <c r="DD83" s="151"/>
      <c r="DE83" s="151"/>
      <c r="DF83" s="151"/>
      <c r="DG83" s="151"/>
      <c r="DH83" s="151"/>
      <c r="DI83" s="151"/>
      <c r="DJ83" s="151"/>
      <c r="DK83" s="151"/>
      <c r="DL83" s="151"/>
      <c r="DM83" s="151"/>
      <c r="DN83" s="151"/>
      <c r="DO83" s="151"/>
      <c r="DP83" s="151"/>
      <c r="DQ83" s="151"/>
      <c r="DR83" s="151"/>
      <c r="DS83" s="151"/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1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1"/>
      <c r="ES83" s="151"/>
      <c r="ET83" s="151"/>
      <c r="EU83" s="151"/>
      <c r="EV83" s="151"/>
      <c r="EW83" s="151"/>
    </row>
    <row r="84" spans="1:153" ht="25.5" customHeight="1" thickBot="1">
      <c r="A84" s="298" t="s">
        <v>110</v>
      </c>
      <c r="B84" s="299"/>
      <c r="C84" s="299"/>
      <c r="D84" s="299"/>
      <c r="E84" s="299"/>
      <c r="F84" s="300"/>
      <c r="G84" s="94">
        <f>SUM(G80:G83)</f>
        <v>18714.98</v>
      </c>
      <c r="H84" s="94">
        <f>SUM(H80:H83)</f>
        <v>10498.83</v>
      </c>
      <c r="I84" s="149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1"/>
      <c r="DE84" s="151"/>
      <c r="DF84" s="151"/>
      <c r="DG84" s="151"/>
      <c r="DH84" s="151"/>
      <c r="DI84" s="151"/>
      <c r="DJ84" s="151"/>
      <c r="DK84" s="151"/>
      <c r="DL84" s="151"/>
      <c r="DM84" s="151"/>
      <c r="DN84" s="151"/>
      <c r="DO84" s="151"/>
      <c r="DP84" s="151"/>
      <c r="DQ84" s="151"/>
      <c r="DR84" s="151"/>
      <c r="DS84" s="151"/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1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1"/>
      <c r="ES84" s="151"/>
      <c r="ET84" s="151"/>
      <c r="EU84" s="151"/>
      <c r="EV84" s="151"/>
      <c r="EW84" s="151"/>
    </row>
    <row r="85" spans="1:9" ht="25.5" customHeight="1" thickBot="1">
      <c r="A85" s="298" t="s">
        <v>111</v>
      </c>
      <c r="B85" s="299"/>
      <c r="C85" s="299"/>
      <c r="D85" s="299"/>
      <c r="E85" s="299"/>
      <c r="F85" s="300"/>
      <c r="G85" s="301">
        <f>G84+H84</f>
        <v>29213.809999999998</v>
      </c>
      <c r="H85" s="302"/>
      <c r="I85" s="66"/>
    </row>
    <row r="86" spans="1:9" ht="25.5" customHeight="1" thickBot="1">
      <c r="A86" s="57" t="s">
        <v>112</v>
      </c>
      <c r="B86" s="58" t="s">
        <v>81</v>
      </c>
      <c r="C86" s="59"/>
      <c r="D86" s="119"/>
      <c r="E86" s="105"/>
      <c r="F86" s="105"/>
      <c r="G86" s="93"/>
      <c r="H86" s="93"/>
      <c r="I86" s="65"/>
    </row>
    <row r="87" spans="1:9" ht="25.5" customHeight="1">
      <c r="A87" s="19" t="s">
        <v>113</v>
      </c>
      <c r="B87" s="43" t="s">
        <v>83</v>
      </c>
      <c r="C87" s="16" t="s">
        <v>8</v>
      </c>
      <c r="D87" s="193">
        <v>132.03</v>
      </c>
      <c r="E87" s="104">
        <v>3.92</v>
      </c>
      <c r="F87" s="104">
        <v>5.97</v>
      </c>
      <c r="G87" s="92">
        <f aca="true" t="shared" si="4" ref="G87:G95">ROUND(D87*E87,2)</f>
        <v>517.56</v>
      </c>
      <c r="H87" s="92">
        <f aca="true" t="shared" si="5" ref="H87:H95">ROUND(D87*F87,2)</f>
        <v>788.22</v>
      </c>
      <c r="I87" s="77" t="s">
        <v>446</v>
      </c>
    </row>
    <row r="88" spans="1:9" ht="25.5" customHeight="1">
      <c r="A88" s="19" t="s">
        <v>162</v>
      </c>
      <c r="B88" s="43" t="s">
        <v>85</v>
      </c>
      <c r="C88" s="16" t="s">
        <v>8</v>
      </c>
      <c r="D88" s="193">
        <f>+(26.02*2+5*8+3.5*2+3.55*2+0.85+0.8+0.55+1.35*2+0.87+1.85*2+1.85*2+1.2+1.6+1.85+1.6+(17.5*2+5.05*6+3.3*2+1.1*2)*2+5.3*2+9.76*2+7.75*2+2.96*2)</f>
        <v>325.3</v>
      </c>
      <c r="E88" s="104">
        <v>1.18</v>
      </c>
      <c r="F88" s="104">
        <v>2.39</v>
      </c>
      <c r="G88" s="92">
        <f t="shared" si="4"/>
        <v>383.85</v>
      </c>
      <c r="H88" s="92">
        <f t="shared" si="5"/>
        <v>777.47</v>
      </c>
      <c r="I88" s="77" t="s">
        <v>447</v>
      </c>
    </row>
    <row r="89" spans="1:9" ht="25.5" customHeight="1">
      <c r="A89" s="19" t="s">
        <v>161</v>
      </c>
      <c r="B89" s="43" t="s">
        <v>87</v>
      </c>
      <c r="C89" s="16" t="s">
        <v>8</v>
      </c>
      <c r="D89" s="193">
        <f>+(26.02*2+5.3+17.8*3+9.17+5.35*4+5.45+13.19+8.05+3.26+2.45+1.3)*5.4+0.8*2.1+1.45*3+0.85*2.1+1.2*2*3+2+3+1.9*3+2*3+1.9*3+1.9*3</f>
        <v>988.1690000000001</v>
      </c>
      <c r="E89" s="104">
        <v>1.18</v>
      </c>
      <c r="F89" s="104">
        <v>2.39</v>
      </c>
      <c r="G89" s="92">
        <f t="shared" si="4"/>
        <v>1166.04</v>
      </c>
      <c r="H89" s="92">
        <f t="shared" si="5"/>
        <v>2361.72</v>
      </c>
      <c r="I89" s="77" t="s">
        <v>447</v>
      </c>
    </row>
    <row r="90" spans="1:9" ht="25.5" customHeight="1">
      <c r="A90" s="19" t="s">
        <v>165</v>
      </c>
      <c r="B90" s="42" t="s">
        <v>93</v>
      </c>
      <c r="C90" s="18" t="s">
        <v>8</v>
      </c>
      <c r="D90" s="193">
        <v>132.03</v>
      </c>
      <c r="E90" s="104">
        <v>6.61</v>
      </c>
      <c r="F90" s="104">
        <v>17.26</v>
      </c>
      <c r="G90" s="92">
        <f>ROUND(D90*E90,2)</f>
        <v>872.72</v>
      </c>
      <c r="H90" s="92">
        <f>ROUND(D90*F90,2)</f>
        <v>2278.84</v>
      </c>
      <c r="I90" s="77" t="s">
        <v>448</v>
      </c>
    </row>
    <row r="91" spans="1:9" ht="25.5" customHeight="1">
      <c r="A91" s="19" t="s">
        <v>166</v>
      </c>
      <c r="B91" s="40" t="s">
        <v>94</v>
      </c>
      <c r="C91" s="11" t="s">
        <v>8</v>
      </c>
      <c r="D91" s="193">
        <f>+(26.02*2+5*8+3.5*2+3.55*2+0.85+0.8+0.55+1.35*2+0.87+1.85*2+1.85*2+1.2+1.6+1.85+1.6+(17.5*2+5.05*6+3.3*2+1.1*2)*2+5.3*2+9.76*2+7.75*2+2.96*2)*3</f>
        <v>975.9000000000001</v>
      </c>
      <c r="E91" s="104">
        <v>6.61</v>
      </c>
      <c r="F91" s="104">
        <v>17.26</v>
      </c>
      <c r="G91" s="92">
        <f t="shared" si="4"/>
        <v>6450.7</v>
      </c>
      <c r="H91" s="92">
        <f t="shared" si="5"/>
        <v>16844.03</v>
      </c>
      <c r="I91" s="77" t="s">
        <v>448</v>
      </c>
    </row>
    <row r="92" spans="1:9" ht="25.5" customHeight="1">
      <c r="A92" s="19" t="s">
        <v>167</v>
      </c>
      <c r="B92" s="40" t="s">
        <v>95</v>
      </c>
      <c r="C92" s="11" t="s">
        <v>8</v>
      </c>
      <c r="D92" s="193">
        <f>+(26.02*2+5.3+17.8*3+9.17+5.35*4+5.45+13.19+8.05+3.26+2.45+1.3)*5.4+0.8*2.1+1.45*3+0.85*2.1+1.2*2*3+2+3+1.9*3+2*3+1.9*3+1.9*3</f>
        <v>988.1690000000001</v>
      </c>
      <c r="E92" s="104">
        <v>6.61</v>
      </c>
      <c r="F92" s="104">
        <v>17.26</v>
      </c>
      <c r="G92" s="92">
        <f>ROUND(D92*E92,2)</f>
        <v>6531.8</v>
      </c>
      <c r="H92" s="92">
        <f>ROUND(D92*F92,2)</f>
        <v>17055.8</v>
      </c>
      <c r="I92" s="77" t="s">
        <v>448</v>
      </c>
    </row>
    <row r="93" spans="1:9" ht="25.5" customHeight="1">
      <c r="A93" s="19" t="s">
        <v>168</v>
      </c>
      <c r="B93" s="43" t="s">
        <v>92</v>
      </c>
      <c r="C93" s="16" t="s">
        <v>8</v>
      </c>
      <c r="D93" s="193">
        <f>+(3.04+0.78+5+5+3.5*4+3.04+0.78)*2*1.8+(3.3*2+5.05*2+2*2+1.1*2)*2*3+(1.6*2+1.85*2+4.75+2.6+3.45+1.2+1.3+1.4)*1.8</f>
        <v>290.18399999999997</v>
      </c>
      <c r="E93" s="104">
        <v>3.94</v>
      </c>
      <c r="F93" s="104">
        <v>9.61</v>
      </c>
      <c r="G93" s="92">
        <f t="shared" si="4"/>
        <v>1143.32</v>
      </c>
      <c r="H93" s="92">
        <f t="shared" si="5"/>
        <v>2788.67</v>
      </c>
      <c r="I93" s="77" t="s">
        <v>601</v>
      </c>
    </row>
    <row r="94" spans="1:9" ht="25.5" customHeight="1">
      <c r="A94" s="19" t="s">
        <v>169</v>
      </c>
      <c r="B94" s="104" t="s">
        <v>553</v>
      </c>
      <c r="C94" s="18" t="s">
        <v>8</v>
      </c>
      <c r="D94" s="193">
        <f>+(3.04+0.78+5+5+3.5*4+3.04+0.78)*2*1.8+(3.3*2+5.05*2+2*2+1.1*2)*2*3+(1.6*2+1.85*2+4.75+2.6+3.45+1.2+1.3+1.4)*1.8</f>
        <v>290.18399999999997</v>
      </c>
      <c r="E94" s="104">
        <v>18.78</v>
      </c>
      <c r="F94" s="104">
        <v>18.74</v>
      </c>
      <c r="G94" s="92">
        <f>ROUND(D94*E94,2)</f>
        <v>5449.66</v>
      </c>
      <c r="H94" s="92">
        <f>ROUND(D94*F94,2)</f>
        <v>5438.05</v>
      </c>
      <c r="I94" s="77" t="s">
        <v>449</v>
      </c>
    </row>
    <row r="95" spans="1:9" ht="30" customHeight="1" thickBot="1">
      <c r="A95" s="19" t="s">
        <v>170</v>
      </c>
      <c r="B95" s="42" t="s">
        <v>96</v>
      </c>
      <c r="C95" s="18" t="s">
        <v>8</v>
      </c>
      <c r="D95" s="193">
        <f>+(3.04+0.78+5+5+3.5*4+3.04+0.78)*2*1.8+(3.3*2+5.05*2+2*2+1.1*2)*2*3+(1.6*2+1.85*2+4.75+2.6+3.45+1.2+1.3+1.4)*1.8</f>
        <v>290.18399999999997</v>
      </c>
      <c r="E95" s="104">
        <v>18.78</v>
      </c>
      <c r="F95" s="104">
        <v>18.74</v>
      </c>
      <c r="G95" s="92">
        <f t="shared" si="4"/>
        <v>5449.66</v>
      </c>
      <c r="H95" s="92">
        <f t="shared" si="5"/>
        <v>5438.05</v>
      </c>
      <c r="I95" s="77" t="s">
        <v>449</v>
      </c>
    </row>
    <row r="96" spans="1:9" ht="25.5" customHeight="1" thickBot="1">
      <c r="A96" s="298" t="s">
        <v>114</v>
      </c>
      <c r="B96" s="299"/>
      <c r="C96" s="299"/>
      <c r="D96" s="299"/>
      <c r="E96" s="299"/>
      <c r="F96" s="300"/>
      <c r="G96" s="94">
        <f>SUM(G87:G95)</f>
        <v>27965.309999999998</v>
      </c>
      <c r="H96" s="94">
        <f>SUM(H87:H95)</f>
        <v>53770.850000000006</v>
      </c>
      <c r="I96" s="67"/>
    </row>
    <row r="97" spans="1:9" ht="25.5" customHeight="1" thickBot="1">
      <c r="A97" s="298" t="s">
        <v>115</v>
      </c>
      <c r="B97" s="299"/>
      <c r="C97" s="299"/>
      <c r="D97" s="299"/>
      <c r="E97" s="299"/>
      <c r="F97" s="300"/>
      <c r="G97" s="301">
        <f>G96+H96</f>
        <v>81736.16</v>
      </c>
      <c r="H97" s="302"/>
      <c r="I97" s="63"/>
    </row>
    <row r="98" spans="1:9" ht="25.5" customHeight="1" thickBot="1">
      <c r="A98" s="57" t="s">
        <v>116</v>
      </c>
      <c r="B98" s="58" t="s">
        <v>100</v>
      </c>
      <c r="C98" s="59"/>
      <c r="D98" s="119"/>
      <c r="E98" s="105"/>
      <c r="F98" s="105"/>
      <c r="G98" s="93"/>
      <c r="H98" s="93"/>
      <c r="I98" s="65"/>
    </row>
    <row r="99" spans="1:9" ht="25.5" customHeight="1">
      <c r="A99" s="11" t="s">
        <v>118</v>
      </c>
      <c r="B99" s="40" t="s">
        <v>554</v>
      </c>
      <c r="C99" s="11" t="s">
        <v>8</v>
      </c>
      <c r="D99" s="118">
        <v>0.72</v>
      </c>
      <c r="E99" s="104">
        <v>339.66</v>
      </c>
      <c r="F99" s="104">
        <v>30.63</v>
      </c>
      <c r="G99" s="92">
        <f>ROUND(D99*E99,2)</f>
        <v>244.56</v>
      </c>
      <c r="H99" s="92">
        <f>ROUND(D99*F99,2)</f>
        <v>22.05</v>
      </c>
      <c r="I99" s="79" t="s">
        <v>450</v>
      </c>
    </row>
    <row r="100" spans="1:113" s="40" customFormat="1" ht="25.5" customHeight="1">
      <c r="A100" s="11" t="s">
        <v>120</v>
      </c>
      <c r="B100" s="40" t="s">
        <v>556</v>
      </c>
      <c r="C100" s="11" t="s">
        <v>8</v>
      </c>
      <c r="D100" s="118">
        <v>12.96</v>
      </c>
      <c r="E100" s="104">
        <v>339.66</v>
      </c>
      <c r="F100" s="104">
        <v>30.63</v>
      </c>
      <c r="G100" s="92">
        <f>ROUND(D100*E100,2)</f>
        <v>4401.99</v>
      </c>
      <c r="H100" s="92">
        <f>ROUND(D100*F100,2)</f>
        <v>396.96</v>
      </c>
      <c r="I100" s="79" t="s">
        <v>450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</row>
    <row r="101" spans="1:9" ht="25.5" customHeight="1">
      <c r="A101" s="11" t="s">
        <v>122</v>
      </c>
      <c r="B101" s="40" t="s">
        <v>558</v>
      </c>
      <c r="C101" s="11" t="s">
        <v>8</v>
      </c>
      <c r="D101" s="118">
        <v>108</v>
      </c>
      <c r="E101" s="104">
        <v>339.66</v>
      </c>
      <c r="F101" s="104">
        <v>30.63</v>
      </c>
      <c r="G101" s="92">
        <f>ROUND(D101*E101,2)</f>
        <v>36683.28</v>
      </c>
      <c r="H101" s="92">
        <f>ROUND(D101*F101,2)</f>
        <v>3308.04</v>
      </c>
      <c r="I101" s="79" t="s">
        <v>450</v>
      </c>
    </row>
    <row r="102" spans="1:9" ht="25.5" customHeight="1">
      <c r="A102" s="11" t="s">
        <v>305</v>
      </c>
      <c r="B102" s="40" t="s">
        <v>560</v>
      </c>
      <c r="C102" s="11" t="s">
        <v>8</v>
      </c>
      <c r="D102" s="118">
        <v>11.52</v>
      </c>
      <c r="E102" s="104">
        <v>339.66</v>
      </c>
      <c r="F102" s="104">
        <v>30.63</v>
      </c>
      <c r="G102" s="92">
        <f>ROUND(D102*E102,2)</f>
        <v>3912.88</v>
      </c>
      <c r="H102" s="92">
        <f>ROUND(D102*F102,2)</f>
        <v>352.86</v>
      </c>
      <c r="I102" s="79" t="s">
        <v>450</v>
      </c>
    </row>
    <row r="103" spans="1:9" ht="25.5" customHeight="1" thickBot="1">
      <c r="A103" s="11" t="s">
        <v>306</v>
      </c>
      <c r="B103" s="40" t="s">
        <v>374</v>
      </c>
      <c r="C103" s="11" t="s">
        <v>8</v>
      </c>
      <c r="D103" s="118">
        <v>6</v>
      </c>
      <c r="E103" s="104">
        <v>209.08</v>
      </c>
      <c r="F103" s="104">
        <v>31.24</v>
      </c>
      <c r="G103" s="107">
        <f>ROUND(D103*E103,2)</f>
        <v>1254.48</v>
      </c>
      <c r="H103" s="107">
        <f>ROUND(D103*F103,2)</f>
        <v>187.44</v>
      </c>
      <c r="I103" s="79" t="s">
        <v>602</v>
      </c>
    </row>
    <row r="104" spans="1:9" ht="25.5" customHeight="1" thickBot="1">
      <c r="A104" s="298" t="s">
        <v>124</v>
      </c>
      <c r="B104" s="299"/>
      <c r="C104" s="299"/>
      <c r="D104" s="299"/>
      <c r="E104" s="299"/>
      <c r="F104" s="300"/>
      <c r="G104" s="94">
        <f>SUM(G99:G103)</f>
        <v>46497.19</v>
      </c>
      <c r="H104" s="94">
        <f>SUM(H99:H103)</f>
        <v>4267.35</v>
      </c>
      <c r="I104" s="69"/>
    </row>
    <row r="105" spans="1:9" ht="25.5" customHeight="1" thickBot="1">
      <c r="A105" s="298" t="s">
        <v>125</v>
      </c>
      <c r="B105" s="299"/>
      <c r="C105" s="299"/>
      <c r="D105" s="299"/>
      <c r="E105" s="299"/>
      <c r="F105" s="300"/>
      <c r="G105" s="301">
        <f>G104+H104</f>
        <v>50764.54</v>
      </c>
      <c r="H105" s="302"/>
      <c r="I105" s="66"/>
    </row>
    <row r="106" spans="1:9" ht="25.5" customHeight="1" thickBot="1">
      <c r="A106" s="57" t="s">
        <v>126</v>
      </c>
      <c r="B106" s="58" t="s">
        <v>108</v>
      </c>
      <c r="C106" s="59"/>
      <c r="D106" s="119"/>
      <c r="E106" s="105"/>
      <c r="F106" s="105"/>
      <c r="G106" s="93"/>
      <c r="H106" s="93"/>
      <c r="I106" s="65"/>
    </row>
    <row r="107" spans="1:9" ht="25.5" customHeight="1">
      <c r="A107" s="19" t="s">
        <v>128</v>
      </c>
      <c r="B107" s="40" t="s">
        <v>561</v>
      </c>
      <c r="C107" s="16" t="s">
        <v>2</v>
      </c>
      <c r="D107" s="118">
        <v>7</v>
      </c>
      <c r="E107" s="104">
        <v>192.27</v>
      </c>
      <c r="F107" s="104">
        <v>102.79</v>
      </c>
      <c r="G107" s="92">
        <f>ROUND(D107*E107,2)</f>
        <v>1345.89</v>
      </c>
      <c r="H107" s="92">
        <f>ROUND(D107*F107,2)</f>
        <v>719.53</v>
      </c>
      <c r="I107" s="78" t="s">
        <v>603</v>
      </c>
    </row>
    <row r="108" spans="1:9" s="141" customFormat="1" ht="25.5" customHeight="1">
      <c r="A108" s="19" t="s">
        <v>423</v>
      </c>
      <c r="B108" s="40" t="s">
        <v>562</v>
      </c>
      <c r="C108" s="173" t="s">
        <v>2</v>
      </c>
      <c r="D108" s="118">
        <v>12</v>
      </c>
      <c r="E108" s="106">
        <v>272.23</v>
      </c>
      <c r="F108" s="106">
        <v>112.82</v>
      </c>
      <c r="G108" s="139">
        <f>ROUND(D108*E108,2)</f>
        <v>3266.76</v>
      </c>
      <c r="H108" s="139">
        <f>ROUND(D108*F108,2)</f>
        <v>1353.84</v>
      </c>
      <c r="I108" s="78" t="s">
        <v>592</v>
      </c>
    </row>
    <row r="109" spans="1:9" s="141" customFormat="1" ht="25.5" customHeight="1" thickBot="1">
      <c r="A109" s="19" t="s">
        <v>424</v>
      </c>
      <c r="B109" s="40" t="s">
        <v>613</v>
      </c>
      <c r="C109" s="123" t="s">
        <v>2</v>
      </c>
      <c r="D109" s="118">
        <v>4</v>
      </c>
      <c r="E109" s="106">
        <v>272.23</v>
      </c>
      <c r="F109" s="106">
        <v>112.82</v>
      </c>
      <c r="G109" s="139">
        <f>ROUND(D109*E109,2)</f>
        <v>1088.92</v>
      </c>
      <c r="H109" s="139">
        <f>ROUND(D109*F109,2)</f>
        <v>451.28</v>
      </c>
      <c r="I109" s="78" t="s">
        <v>592</v>
      </c>
    </row>
    <row r="110" spans="1:9" ht="25.5" customHeight="1" thickBot="1">
      <c r="A110" s="298" t="s">
        <v>129</v>
      </c>
      <c r="B110" s="299"/>
      <c r="C110" s="299"/>
      <c r="D110" s="299"/>
      <c r="E110" s="299"/>
      <c r="F110" s="300"/>
      <c r="G110" s="94">
        <f>SUM(G106:G109)</f>
        <v>5701.570000000001</v>
      </c>
      <c r="H110" s="94">
        <f>SUM(H106:H109)</f>
        <v>2524.6499999999996</v>
      </c>
      <c r="I110" s="67"/>
    </row>
    <row r="111" spans="1:9" ht="25.5" customHeight="1" thickBot="1">
      <c r="A111" s="322" t="s">
        <v>130</v>
      </c>
      <c r="B111" s="323"/>
      <c r="C111" s="323"/>
      <c r="D111" s="323"/>
      <c r="E111" s="323"/>
      <c r="F111" s="324"/>
      <c r="G111" s="301">
        <f>G110+H110</f>
        <v>8226.220000000001</v>
      </c>
      <c r="H111" s="302"/>
      <c r="I111" s="66"/>
    </row>
    <row r="112" spans="1:9" ht="25.5" customHeight="1" thickBot="1">
      <c r="A112" s="57" t="s">
        <v>131</v>
      </c>
      <c r="B112" s="58" t="s">
        <v>117</v>
      </c>
      <c r="C112" s="59"/>
      <c r="D112" s="119"/>
      <c r="E112" s="105"/>
      <c r="F112" s="105"/>
      <c r="G112" s="93"/>
      <c r="H112" s="93"/>
      <c r="I112" s="65"/>
    </row>
    <row r="113" spans="1:9" ht="25.5" customHeight="1">
      <c r="A113" s="11" t="s">
        <v>132</v>
      </c>
      <c r="B113" s="40" t="s">
        <v>373</v>
      </c>
      <c r="C113" s="11" t="s">
        <v>8</v>
      </c>
      <c r="D113" s="118">
        <f>140.32+88.37+169.11+454.32</f>
        <v>852.12</v>
      </c>
      <c r="E113" s="104">
        <v>9.38</v>
      </c>
      <c r="F113" s="104">
        <v>7.36</v>
      </c>
      <c r="G113" s="92">
        <f>ROUND(D113*E113,2)</f>
        <v>7992.89</v>
      </c>
      <c r="H113" s="92">
        <f>ROUND(D113*F113,2)</f>
        <v>6271.6</v>
      </c>
      <c r="I113" s="77" t="s">
        <v>451</v>
      </c>
    </row>
    <row r="114" spans="1:9" ht="51" customHeight="1">
      <c r="A114" s="11" t="s">
        <v>133</v>
      </c>
      <c r="B114" s="40" t="s">
        <v>372</v>
      </c>
      <c r="C114" s="11" t="s">
        <v>8</v>
      </c>
      <c r="D114" s="118">
        <f>140.32+88.37+169.11+454.32</f>
        <v>852.12</v>
      </c>
      <c r="E114" s="104">
        <v>6.02</v>
      </c>
      <c r="F114" s="104">
        <v>7.03</v>
      </c>
      <c r="G114" s="92">
        <f>ROUND(D114*E114,2)</f>
        <v>5129.76</v>
      </c>
      <c r="H114" s="92">
        <f>ROUND(D114*F114,2)</f>
        <v>5990.4</v>
      </c>
      <c r="I114" s="77" t="s">
        <v>452</v>
      </c>
    </row>
    <row r="115" spans="1:9" ht="51" customHeight="1">
      <c r="A115" s="11" t="s">
        <v>163</v>
      </c>
      <c r="B115" s="40" t="s">
        <v>308</v>
      </c>
      <c r="C115" s="16" t="s">
        <v>8</v>
      </c>
      <c r="D115" s="118">
        <f>311.71+88.37+169.11</f>
        <v>569.19</v>
      </c>
      <c r="E115" s="104">
        <v>31.57</v>
      </c>
      <c r="F115" s="104">
        <v>19.59</v>
      </c>
      <c r="G115" s="92">
        <f>ROUND(D115*E115,2)</f>
        <v>17969.33</v>
      </c>
      <c r="H115" s="92">
        <f>ROUND(D115*F115,2)</f>
        <v>11150.43</v>
      </c>
      <c r="I115" s="77" t="s">
        <v>453</v>
      </c>
    </row>
    <row r="116" spans="1:9" ht="37.5" customHeight="1">
      <c r="A116" s="11" t="s">
        <v>164</v>
      </c>
      <c r="B116" s="40" t="s">
        <v>123</v>
      </c>
      <c r="C116" s="16" t="s">
        <v>39</v>
      </c>
      <c r="D116" s="118">
        <f>(43.85+15*5+1.35+43.85+(6.5+2.6+3.4+1.2+1.3+1.4+2+1.85+1.6+1.85+2+0.65+1.2+1.5)*2+4.75*4+11.2*2+17.5*4+5.05*8+5.3*2+9.78*2+3.5*6+1.3*6+7.75*2+2.96*2)</f>
        <v>454.33</v>
      </c>
      <c r="E116" s="104">
        <v>1.85</v>
      </c>
      <c r="F116" s="104">
        <v>4.56</v>
      </c>
      <c r="G116" s="92">
        <f>ROUND(D116*E116,2)</f>
        <v>840.51</v>
      </c>
      <c r="H116" s="92">
        <f>ROUND(D116*F116,2)</f>
        <v>2071.74</v>
      </c>
      <c r="I116" s="77" t="s">
        <v>454</v>
      </c>
    </row>
    <row r="117" spans="1:9" s="141" customFormat="1" ht="39.75" customHeight="1" thickBot="1">
      <c r="A117" s="175" t="s">
        <v>571</v>
      </c>
      <c r="B117" s="176" t="s">
        <v>572</v>
      </c>
      <c r="C117" s="177" t="s">
        <v>8</v>
      </c>
      <c r="D117" s="118">
        <v>454.32</v>
      </c>
      <c r="E117" s="155">
        <v>6.53</v>
      </c>
      <c r="F117" s="106">
        <v>9.72</v>
      </c>
      <c r="G117" s="178">
        <f>ROUND(D117*E117,2)</f>
        <v>2966.71</v>
      </c>
      <c r="H117" s="178">
        <f>ROUND(D117*F117,2)</f>
        <v>4415.99</v>
      </c>
      <c r="I117" s="179" t="s">
        <v>594</v>
      </c>
    </row>
    <row r="118" spans="1:9" ht="25.5" customHeight="1" thickBot="1">
      <c r="A118" s="298" t="s">
        <v>134</v>
      </c>
      <c r="B118" s="299"/>
      <c r="C118" s="299"/>
      <c r="D118" s="299"/>
      <c r="E118" s="299"/>
      <c r="F118" s="300"/>
      <c r="G118" s="94">
        <f>SUM(G113:G117)</f>
        <v>34899.200000000004</v>
      </c>
      <c r="H118" s="94">
        <f>SUM(H113:H117)</f>
        <v>29900.159999999996</v>
      </c>
      <c r="I118" s="67"/>
    </row>
    <row r="119" spans="1:9" ht="25.5" customHeight="1" thickBot="1">
      <c r="A119" s="298" t="s">
        <v>135</v>
      </c>
      <c r="B119" s="299"/>
      <c r="C119" s="299"/>
      <c r="D119" s="299"/>
      <c r="E119" s="299"/>
      <c r="F119" s="300"/>
      <c r="G119" s="301">
        <f>G118+H118</f>
        <v>64799.36</v>
      </c>
      <c r="H119" s="302"/>
      <c r="I119" s="66"/>
    </row>
    <row r="120" spans="1:9" ht="25.5" customHeight="1" thickBot="1">
      <c r="A120" s="57" t="s">
        <v>136</v>
      </c>
      <c r="B120" s="58" t="s">
        <v>291</v>
      </c>
      <c r="C120" s="59"/>
      <c r="D120" s="119"/>
      <c r="E120" s="105"/>
      <c r="F120" s="105"/>
      <c r="G120" s="93"/>
      <c r="H120" s="93"/>
      <c r="I120" s="65"/>
    </row>
    <row r="121" spans="1:9" ht="51" customHeight="1">
      <c r="A121" s="11" t="s">
        <v>307</v>
      </c>
      <c r="B121" s="40" t="s">
        <v>282</v>
      </c>
      <c r="C121" s="11" t="s">
        <v>8</v>
      </c>
      <c r="D121" s="118">
        <v>16.72</v>
      </c>
      <c r="E121" s="104">
        <v>200.81</v>
      </c>
      <c r="F121" s="104">
        <v>62.32</v>
      </c>
      <c r="G121" s="92">
        <f>ROUND(D121*E121,2)</f>
        <v>3357.54</v>
      </c>
      <c r="H121" s="92">
        <f>ROUND(D121*F121,2)</f>
        <v>1041.99</v>
      </c>
      <c r="I121" s="11" t="s">
        <v>455</v>
      </c>
    </row>
    <row r="122" spans="1:9" ht="28.5" customHeight="1">
      <c r="A122" s="11" t="s">
        <v>415</v>
      </c>
      <c r="B122" s="41" t="s">
        <v>310</v>
      </c>
      <c r="C122" s="114" t="s">
        <v>8</v>
      </c>
      <c r="D122" s="118">
        <v>27.68</v>
      </c>
      <c r="E122" s="104">
        <v>213.34</v>
      </c>
      <c r="F122" s="104">
        <v>19.1</v>
      </c>
      <c r="G122" s="92">
        <f>ROUND(D122*E122,2)</f>
        <v>5905.25</v>
      </c>
      <c r="H122" s="92">
        <f>ROUND(D122*F122,2)</f>
        <v>528.69</v>
      </c>
      <c r="I122" s="8" t="s">
        <v>456</v>
      </c>
    </row>
    <row r="123" spans="1:9" ht="25.5" customHeight="1" thickBot="1">
      <c r="A123" s="11" t="s">
        <v>416</v>
      </c>
      <c r="B123" s="41" t="s">
        <v>309</v>
      </c>
      <c r="C123" s="18" t="s">
        <v>8</v>
      </c>
      <c r="D123" s="118">
        <v>47.64</v>
      </c>
      <c r="E123" s="104">
        <v>242.34</v>
      </c>
      <c r="F123" s="104">
        <v>35</v>
      </c>
      <c r="G123" s="92">
        <f>ROUND(D123*E123,2)</f>
        <v>11545.08</v>
      </c>
      <c r="H123" s="92">
        <f>ROUND(D123*F123,2)</f>
        <v>1667.4</v>
      </c>
      <c r="I123" s="8" t="s">
        <v>457</v>
      </c>
    </row>
    <row r="124" spans="1:9" ht="25.5" customHeight="1" thickBot="1">
      <c r="A124" s="17"/>
      <c r="B124" s="325" t="s">
        <v>615</v>
      </c>
      <c r="C124" s="326"/>
      <c r="D124" s="326"/>
      <c r="E124" s="326"/>
      <c r="F124" s="327"/>
      <c r="G124" s="97">
        <f>SUM(G121:G123)</f>
        <v>20807.870000000003</v>
      </c>
      <c r="H124" s="97">
        <f>SUM(H121:H123)</f>
        <v>3238.08</v>
      </c>
      <c r="I124" s="70"/>
    </row>
    <row r="125" spans="1:9" ht="25.5" customHeight="1" thickBot="1">
      <c r="A125" s="298" t="s">
        <v>616</v>
      </c>
      <c r="B125" s="299"/>
      <c r="C125" s="299"/>
      <c r="D125" s="299"/>
      <c r="E125" s="299"/>
      <c r="F125" s="300"/>
      <c r="G125" s="301">
        <f>G124+H124</f>
        <v>24045.950000000004</v>
      </c>
      <c r="H125" s="302"/>
      <c r="I125" s="65"/>
    </row>
    <row r="126" spans="1:9" ht="25.5" customHeight="1" thickBot="1">
      <c r="A126" s="85"/>
      <c r="B126" s="86"/>
      <c r="C126" s="87"/>
      <c r="D126" s="126"/>
      <c r="E126" s="106"/>
      <c r="F126" s="106"/>
      <c r="G126" s="96"/>
      <c r="H126" s="96"/>
      <c r="I126" s="80"/>
    </row>
    <row r="127" spans="1:9" ht="25.5" customHeight="1" thickBot="1">
      <c r="A127" s="57" t="s">
        <v>137</v>
      </c>
      <c r="B127" s="58" t="s">
        <v>138</v>
      </c>
      <c r="C127" s="59"/>
      <c r="D127" s="119"/>
      <c r="E127" s="105"/>
      <c r="F127" s="105"/>
      <c r="G127" s="93"/>
      <c r="H127" s="93"/>
      <c r="I127" s="65"/>
    </row>
    <row r="128" spans="1:9" ht="25.5" customHeight="1">
      <c r="A128" s="19" t="s">
        <v>139</v>
      </c>
      <c r="B128" s="40" t="s">
        <v>140</v>
      </c>
      <c r="C128" s="16" t="s">
        <v>8</v>
      </c>
      <c r="D128" s="118">
        <v>132.03</v>
      </c>
      <c r="E128" s="104">
        <v>0.65</v>
      </c>
      <c r="F128" s="104">
        <v>0.63</v>
      </c>
      <c r="G128" s="92">
        <f aca="true" t="shared" si="6" ref="G128:G133">ROUND(D128*E128,2)</f>
        <v>85.82</v>
      </c>
      <c r="H128" s="92">
        <f aca="true" t="shared" si="7" ref="H128:H133">ROUND(D128*F128,2)</f>
        <v>83.18</v>
      </c>
      <c r="I128" s="11" t="s">
        <v>458</v>
      </c>
    </row>
    <row r="129" spans="1:9" ht="25.5" customHeight="1">
      <c r="A129" s="19" t="s">
        <v>141</v>
      </c>
      <c r="B129" s="40" t="s">
        <v>271</v>
      </c>
      <c r="C129" s="16" t="s">
        <v>8</v>
      </c>
      <c r="D129" s="118">
        <f>D102</f>
        <v>11.52</v>
      </c>
      <c r="E129" s="104">
        <v>1.37</v>
      </c>
      <c r="F129" s="104">
        <v>6.32</v>
      </c>
      <c r="G129" s="92">
        <f t="shared" si="6"/>
        <v>15.78</v>
      </c>
      <c r="H129" s="92">
        <f t="shared" si="7"/>
        <v>72.81</v>
      </c>
      <c r="I129" s="11" t="s">
        <v>459</v>
      </c>
    </row>
    <row r="130" spans="1:9" ht="25.5" customHeight="1">
      <c r="A130" s="19" t="s">
        <v>142</v>
      </c>
      <c r="B130" s="40" t="s">
        <v>143</v>
      </c>
      <c r="C130" s="18" t="s">
        <v>8</v>
      </c>
      <c r="D130" s="118">
        <f>+(26.02*2+5.3+17.8*3+9.17+5.35*4+5.45+13.19+8.05+3.26+2.45+1.3)*5.4+0.8*2.1+1.45*3+0.85*2.1+1.2*2*3+2+3+1.9*3+2*3+1.9*3+1.9*3</f>
        <v>988.1690000000001</v>
      </c>
      <c r="E130" s="104">
        <v>0.65</v>
      </c>
      <c r="F130" s="104">
        <v>0.63</v>
      </c>
      <c r="G130" s="92">
        <f>ROUND(D130*E130,2)</f>
        <v>642.31</v>
      </c>
      <c r="H130" s="92">
        <f>ROUND(D130*F130,2)</f>
        <v>622.55</v>
      </c>
      <c r="I130" s="11" t="s">
        <v>458</v>
      </c>
    </row>
    <row r="131" spans="1:9" ht="25.5" customHeight="1">
      <c r="A131" s="19" t="s">
        <v>417</v>
      </c>
      <c r="B131" s="40" t="s">
        <v>144</v>
      </c>
      <c r="C131" s="11" t="s">
        <v>8</v>
      </c>
      <c r="D131" s="118">
        <v>132.03</v>
      </c>
      <c r="E131" s="104">
        <v>2.17</v>
      </c>
      <c r="F131" s="104">
        <v>4.32</v>
      </c>
      <c r="G131" s="92">
        <f t="shared" si="6"/>
        <v>286.51</v>
      </c>
      <c r="H131" s="92">
        <f t="shared" si="7"/>
        <v>570.37</v>
      </c>
      <c r="I131" s="77" t="s">
        <v>604</v>
      </c>
    </row>
    <row r="132" spans="1:9" ht="25.5" customHeight="1">
      <c r="A132" s="19" t="s">
        <v>418</v>
      </c>
      <c r="B132" s="40" t="s">
        <v>145</v>
      </c>
      <c r="C132" s="16" t="s">
        <v>8</v>
      </c>
      <c r="D132" s="118">
        <f>D129</f>
        <v>11.52</v>
      </c>
      <c r="E132" s="104">
        <v>2.17</v>
      </c>
      <c r="F132" s="104">
        <v>4.32</v>
      </c>
      <c r="G132" s="92">
        <f>ROUND(D132*E132,2)</f>
        <v>25</v>
      </c>
      <c r="H132" s="92">
        <f>ROUND(D132*F132,2)</f>
        <v>49.77</v>
      </c>
      <c r="I132" s="77" t="s">
        <v>604</v>
      </c>
    </row>
    <row r="133" spans="1:9" ht="25.5" customHeight="1" thickBot="1">
      <c r="A133" s="19" t="s">
        <v>419</v>
      </c>
      <c r="B133" s="40" t="s">
        <v>270</v>
      </c>
      <c r="C133" s="18" t="s">
        <v>8</v>
      </c>
      <c r="D133" s="118">
        <f>+(26.02*2+5.3+17.8*3+9.17+5.35*4+5.45+13.19+8.05+3.26+2.45+1.3)*5.4+0.8*2.1+1.45*3+0.85*2.1+1.2*2*3+2+3+1.9*3+2*3+1.9*3+1.9*3</f>
        <v>988.1690000000001</v>
      </c>
      <c r="E133" s="104">
        <v>2.52</v>
      </c>
      <c r="F133" s="104">
        <v>5.12</v>
      </c>
      <c r="G133" s="92">
        <f t="shared" si="6"/>
        <v>2490.19</v>
      </c>
      <c r="H133" s="92">
        <f t="shared" si="7"/>
        <v>5059.43</v>
      </c>
      <c r="I133" s="77" t="s">
        <v>541</v>
      </c>
    </row>
    <row r="134" spans="1:9" ht="25.5" customHeight="1" thickBot="1">
      <c r="A134" s="298" t="s">
        <v>147</v>
      </c>
      <c r="B134" s="299"/>
      <c r="C134" s="299"/>
      <c r="D134" s="299"/>
      <c r="E134" s="299"/>
      <c r="F134" s="300"/>
      <c r="G134" s="94">
        <f>SUM(G128:G133)</f>
        <v>3545.61</v>
      </c>
      <c r="H134" s="94">
        <f>SUM(H128:H133)</f>
        <v>6458.110000000001</v>
      </c>
      <c r="I134" s="67"/>
    </row>
    <row r="135" spans="1:9" ht="25.5" customHeight="1" thickBot="1">
      <c r="A135" s="298" t="s">
        <v>148</v>
      </c>
      <c r="B135" s="299"/>
      <c r="C135" s="299"/>
      <c r="D135" s="299"/>
      <c r="E135" s="299"/>
      <c r="F135" s="300"/>
      <c r="G135" s="301">
        <f>G134+H134</f>
        <v>10003.720000000001</v>
      </c>
      <c r="H135" s="302"/>
      <c r="I135" s="71"/>
    </row>
    <row r="136" spans="1:9" ht="25.5" customHeight="1" thickBot="1">
      <c r="A136" s="331" t="s">
        <v>564</v>
      </c>
      <c r="B136" s="332"/>
      <c r="C136" s="332"/>
      <c r="D136" s="332"/>
      <c r="E136" s="332"/>
      <c r="F136" s="333"/>
      <c r="G136" s="98">
        <f>G41+G46+G51+G58+G63+G70+G96+G104+G110++G118+G124+G134+G34+G27+G84+G77</f>
        <v>291916.1</v>
      </c>
      <c r="H136" s="98">
        <f>H41+H46+H51+H58+H63+H70+H96+H104+H110+H118+H124+H134+H34+H27+H84+H77</f>
        <v>225529.96000000002</v>
      </c>
      <c r="I136" s="72"/>
    </row>
    <row r="137" spans="1:9" ht="25.5" customHeight="1" thickBot="1">
      <c r="A137" s="328" t="s">
        <v>565</v>
      </c>
      <c r="B137" s="329"/>
      <c r="C137" s="329"/>
      <c r="D137" s="329"/>
      <c r="E137" s="329"/>
      <c r="F137" s="330"/>
      <c r="G137" s="99">
        <f>G136+H136</f>
        <v>517446.06</v>
      </c>
      <c r="H137" s="99"/>
      <c r="I137" s="73"/>
    </row>
    <row r="138" spans="1:9" ht="25.5" customHeight="1" thickBot="1">
      <c r="A138" s="28" t="s">
        <v>149</v>
      </c>
      <c r="B138" s="318" t="s">
        <v>566</v>
      </c>
      <c r="C138" s="319"/>
      <c r="D138" s="319"/>
      <c r="E138" s="319"/>
      <c r="F138" s="319"/>
      <c r="G138" s="319">
        <f>ROUND(D138*E138,2)</f>
        <v>0</v>
      </c>
      <c r="H138" s="319">
        <f>ROUND(D138*F138,2)</f>
        <v>0</v>
      </c>
      <c r="I138" s="319"/>
    </row>
    <row r="139" spans="1:9" ht="25.5" customHeight="1" thickBot="1">
      <c r="A139" s="57" t="s">
        <v>25</v>
      </c>
      <c r="B139" s="58" t="s">
        <v>26</v>
      </c>
      <c r="C139" s="59"/>
      <c r="D139" s="119"/>
      <c r="E139" s="105"/>
      <c r="F139" s="105"/>
      <c r="G139" s="93"/>
      <c r="H139" s="93"/>
      <c r="I139" s="65"/>
    </row>
    <row r="140" spans="1:9" ht="25.5" customHeight="1">
      <c r="A140" s="19" t="s">
        <v>7</v>
      </c>
      <c r="B140" s="51" t="s">
        <v>27</v>
      </c>
      <c r="C140" s="27" t="s">
        <v>8</v>
      </c>
      <c r="D140" s="118">
        <v>675.61</v>
      </c>
      <c r="E140" s="104">
        <v>0</v>
      </c>
      <c r="F140" s="104">
        <v>2.04</v>
      </c>
      <c r="G140" s="95">
        <f>ROUND(D140*E140,2)</f>
        <v>0</v>
      </c>
      <c r="H140" s="95">
        <f>ROUND(D140*F140,2)</f>
        <v>1378.24</v>
      </c>
      <c r="I140" s="77" t="s">
        <v>436</v>
      </c>
    </row>
    <row r="141" spans="1:9" ht="25.5" customHeight="1" thickBot="1">
      <c r="A141" s="19" t="s">
        <v>9</v>
      </c>
      <c r="B141" s="38" t="s">
        <v>29</v>
      </c>
      <c r="C141" s="14" t="s">
        <v>8</v>
      </c>
      <c r="D141" s="118">
        <v>675.61</v>
      </c>
      <c r="E141" s="104">
        <v>2.15</v>
      </c>
      <c r="F141" s="104">
        <v>2.69</v>
      </c>
      <c r="G141" s="96">
        <f>ROUND(D141*E141,2)</f>
        <v>1452.56</v>
      </c>
      <c r="H141" s="96">
        <f>ROUND(D141*F141,2)</f>
        <v>1817.39</v>
      </c>
      <c r="I141" s="76" t="s">
        <v>437</v>
      </c>
    </row>
    <row r="142" spans="1:9" ht="25.5" customHeight="1" thickBot="1">
      <c r="A142" s="298" t="s">
        <v>30</v>
      </c>
      <c r="B142" s="299"/>
      <c r="C142" s="299"/>
      <c r="D142" s="299"/>
      <c r="E142" s="299"/>
      <c r="F142" s="300"/>
      <c r="G142" s="94">
        <f>SUM(G140:G141)</f>
        <v>1452.56</v>
      </c>
      <c r="H142" s="94">
        <f>SUM(H140:H141)</f>
        <v>3195.63</v>
      </c>
      <c r="I142" s="68"/>
    </row>
    <row r="143" spans="1:9" ht="25.5" customHeight="1" thickBot="1">
      <c r="A143" s="298" t="s">
        <v>31</v>
      </c>
      <c r="B143" s="299"/>
      <c r="C143" s="299"/>
      <c r="D143" s="299"/>
      <c r="E143" s="299"/>
      <c r="F143" s="300"/>
      <c r="G143" s="301">
        <f>G142+H142</f>
        <v>4648.1900000000005</v>
      </c>
      <c r="H143" s="302"/>
      <c r="I143" s="68"/>
    </row>
    <row r="144" spans="1:9" ht="25.5" customHeight="1" thickBot="1">
      <c r="A144" s="57" t="s">
        <v>23</v>
      </c>
      <c r="B144" s="58" t="s">
        <v>32</v>
      </c>
      <c r="C144" s="59"/>
      <c r="D144" s="119"/>
      <c r="E144" s="105"/>
      <c r="F144" s="105"/>
      <c r="G144" s="93"/>
      <c r="H144" s="93"/>
      <c r="I144" s="65"/>
    </row>
    <row r="145" spans="1:9" ht="25.5" customHeight="1" thickBot="1">
      <c r="A145" s="60" t="s">
        <v>33</v>
      </c>
      <c r="B145" s="61" t="s">
        <v>34</v>
      </c>
      <c r="C145" s="20" t="s">
        <v>14</v>
      </c>
      <c r="D145" s="118">
        <v>4.75</v>
      </c>
      <c r="E145" s="104">
        <v>0</v>
      </c>
      <c r="F145" s="104">
        <v>26.12</v>
      </c>
      <c r="G145" s="92">
        <f>ROUND(D145*E145,2)</f>
        <v>0</v>
      </c>
      <c r="H145" s="92">
        <f>ROUND(D145*F145,2)</f>
        <v>124.07</v>
      </c>
      <c r="I145" s="21" t="s">
        <v>438</v>
      </c>
    </row>
    <row r="146" spans="1:9" ht="25.5" customHeight="1" thickBot="1">
      <c r="A146" s="60" t="s">
        <v>35</v>
      </c>
      <c r="B146" s="45" t="s">
        <v>36</v>
      </c>
      <c r="C146" s="16" t="s">
        <v>8</v>
      </c>
      <c r="D146" s="118">
        <f>4.75/0.3</f>
        <v>15.833333333333334</v>
      </c>
      <c r="E146" s="104">
        <v>0</v>
      </c>
      <c r="F146" s="104">
        <v>4.07</v>
      </c>
      <c r="G146" s="92">
        <f>ROUND(D146*E146,2)</f>
        <v>0</v>
      </c>
      <c r="H146" s="92">
        <f>ROUND(D146*F146,2)</f>
        <v>64.44</v>
      </c>
      <c r="I146" s="11" t="s">
        <v>461</v>
      </c>
    </row>
    <row r="147" spans="1:9" ht="25.5" customHeight="1" thickBot="1">
      <c r="A147" s="60" t="s">
        <v>37</v>
      </c>
      <c r="B147" s="43" t="s">
        <v>38</v>
      </c>
      <c r="C147" s="16" t="s">
        <v>39</v>
      </c>
      <c r="D147" s="118">
        <f>36*6.5+9*3</f>
        <v>261</v>
      </c>
      <c r="E147" s="104">
        <v>21.03</v>
      </c>
      <c r="F147" s="104">
        <v>26.31</v>
      </c>
      <c r="G147" s="92">
        <f>ROUND(D147*E147,2)</f>
        <v>5488.83</v>
      </c>
      <c r="H147" s="92">
        <f>ROUND(D147*F147,2)</f>
        <v>6866.91</v>
      </c>
      <c r="I147" s="77" t="s">
        <v>439</v>
      </c>
    </row>
    <row r="148" spans="1:9" ht="25.5" customHeight="1" thickBot="1">
      <c r="A148" s="60" t="s">
        <v>365</v>
      </c>
      <c r="B148" s="46" t="s">
        <v>40</v>
      </c>
      <c r="C148" s="16" t="s">
        <v>14</v>
      </c>
      <c r="D148" s="118">
        <v>4.75</v>
      </c>
      <c r="E148" s="104">
        <v>712.44</v>
      </c>
      <c r="F148" s="104">
        <v>333.1</v>
      </c>
      <c r="G148" s="92">
        <f>ROUND(D148*E148,2)</f>
        <v>3384.09</v>
      </c>
      <c r="H148" s="92">
        <f>ROUND(D148*F148,2)</f>
        <v>1582.23</v>
      </c>
      <c r="I148" s="77" t="s">
        <v>401</v>
      </c>
    </row>
    <row r="149" spans="1:9" ht="25.5" customHeight="1" thickBot="1">
      <c r="A149" s="298" t="s">
        <v>41</v>
      </c>
      <c r="B149" s="299"/>
      <c r="C149" s="299"/>
      <c r="D149" s="299"/>
      <c r="E149" s="299"/>
      <c r="F149" s="300"/>
      <c r="G149" s="94">
        <f>SUM(G145:G148)</f>
        <v>8872.92</v>
      </c>
      <c r="H149" s="94">
        <f>SUM(H145:H148)</f>
        <v>8637.65</v>
      </c>
      <c r="I149" s="67"/>
    </row>
    <row r="150" spans="1:9" ht="25.5" customHeight="1" thickBot="1">
      <c r="A150" s="298" t="s">
        <v>42</v>
      </c>
      <c r="B150" s="299"/>
      <c r="C150" s="299"/>
      <c r="D150" s="299"/>
      <c r="E150" s="299"/>
      <c r="F150" s="300"/>
      <c r="G150" s="301">
        <f>G149+H149</f>
        <v>17510.57</v>
      </c>
      <c r="H150" s="302"/>
      <c r="I150" s="66"/>
    </row>
    <row r="151" spans="1:9" ht="25.5" customHeight="1" thickBot="1">
      <c r="A151" s="57" t="s">
        <v>43</v>
      </c>
      <c r="B151" s="58" t="s">
        <v>49</v>
      </c>
      <c r="C151" s="59"/>
      <c r="D151" s="119"/>
      <c r="E151" s="105"/>
      <c r="F151" s="105"/>
      <c r="G151" s="93"/>
      <c r="H151" s="93"/>
      <c r="I151" s="65"/>
    </row>
    <row r="152" spans="1:9" ht="25.5" customHeight="1" thickBot="1">
      <c r="A152" s="22" t="s">
        <v>45</v>
      </c>
      <c r="B152" s="46" t="s">
        <v>51</v>
      </c>
      <c r="C152" s="23" t="s">
        <v>8</v>
      </c>
      <c r="D152" s="118">
        <v>79.93</v>
      </c>
      <c r="E152" s="104">
        <v>6.22</v>
      </c>
      <c r="F152" s="104">
        <v>14.79</v>
      </c>
      <c r="G152" s="92">
        <f>ROUND(D152*E152,2)</f>
        <v>497.16</v>
      </c>
      <c r="H152" s="92">
        <f>ROUND(D152*F152,2)</f>
        <v>1182.16</v>
      </c>
      <c r="I152" s="79" t="s">
        <v>440</v>
      </c>
    </row>
    <row r="153" spans="1:9" ht="25.5" customHeight="1" thickBot="1">
      <c r="A153" s="298" t="s">
        <v>46</v>
      </c>
      <c r="B153" s="299"/>
      <c r="C153" s="299"/>
      <c r="D153" s="299"/>
      <c r="E153" s="299"/>
      <c r="F153" s="300"/>
      <c r="G153" s="94">
        <f>SUM(G151:G152)</f>
        <v>497.16</v>
      </c>
      <c r="H153" s="94">
        <f>SUM(H151:H152)</f>
        <v>1182.16</v>
      </c>
      <c r="I153" s="67"/>
    </row>
    <row r="154" spans="1:9" ht="25.5" customHeight="1" thickBot="1">
      <c r="A154" s="298" t="s">
        <v>47</v>
      </c>
      <c r="B154" s="299"/>
      <c r="C154" s="299"/>
      <c r="D154" s="299"/>
      <c r="E154" s="299"/>
      <c r="F154" s="300"/>
      <c r="G154" s="301">
        <f>G153+H153</f>
        <v>1679.3200000000002</v>
      </c>
      <c r="H154" s="302"/>
      <c r="I154" s="66"/>
    </row>
    <row r="155" spans="1:9" ht="25.5" customHeight="1" thickBot="1">
      <c r="A155" s="57" t="s">
        <v>48</v>
      </c>
      <c r="B155" s="58" t="s">
        <v>55</v>
      </c>
      <c r="C155" s="59"/>
      <c r="D155" s="119"/>
      <c r="E155" s="105"/>
      <c r="F155" s="105"/>
      <c r="G155" s="93"/>
      <c r="H155" s="93"/>
      <c r="I155" s="65"/>
    </row>
    <row r="156" spans="1:9" ht="25.5" customHeight="1">
      <c r="A156" s="11" t="s">
        <v>50</v>
      </c>
      <c r="B156" s="51" t="s">
        <v>57</v>
      </c>
      <c r="C156" s="11" t="s">
        <v>14</v>
      </c>
      <c r="D156" s="118">
        <v>3.65</v>
      </c>
      <c r="E156" s="104">
        <v>712.44</v>
      </c>
      <c r="F156" s="104">
        <v>333.1</v>
      </c>
      <c r="G156" s="92">
        <f>ROUND(D156*E156,2)</f>
        <v>2600.41</v>
      </c>
      <c r="H156" s="92">
        <f>ROUND(D156*F156,2)</f>
        <v>1215.82</v>
      </c>
      <c r="I156" s="77" t="s">
        <v>401</v>
      </c>
    </row>
    <row r="157" spans="1:9" ht="25.5" customHeight="1">
      <c r="A157" s="11" t="s">
        <v>420</v>
      </c>
      <c r="B157" s="52" t="s">
        <v>281</v>
      </c>
      <c r="C157" s="11" t="s">
        <v>14</v>
      </c>
      <c r="D157" s="118">
        <v>6.37</v>
      </c>
      <c r="E157" s="104">
        <v>984.36</v>
      </c>
      <c r="F157" s="104">
        <v>474.02</v>
      </c>
      <c r="G157" s="92">
        <f>ROUND(D157*E157,2)</f>
        <v>6270.37</v>
      </c>
      <c r="H157" s="92">
        <f>ROUND(D157*F157,2)</f>
        <v>3019.51</v>
      </c>
      <c r="I157" s="16" t="str">
        <f>I55</f>
        <v> SINAPI GO 73346</v>
      </c>
    </row>
    <row r="158" spans="1:9" ht="25.5" customHeight="1">
      <c r="A158" s="11" t="s">
        <v>421</v>
      </c>
      <c r="B158" s="52" t="s">
        <v>58</v>
      </c>
      <c r="C158" s="26" t="s">
        <v>8</v>
      </c>
      <c r="D158" s="118">
        <v>12.89</v>
      </c>
      <c r="E158" s="104">
        <v>59.59</v>
      </c>
      <c r="F158" s="104">
        <v>39.49</v>
      </c>
      <c r="G158" s="92">
        <f>ROUND(D158*E158,2)</f>
        <v>768.12</v>
      </c>
      <c r="H158" s="92">
        <f>ROUND(D158*F158,2)</f>
        <v>509.03</v>
      </c>
      <c r="I158" s="16" t="str">
        <f>I56</f>
        <v>SINAPI GO 74141/004</v>
      </c>
    </row>
    <row r="159" spans="1:9" ht="25.5" customHeight="1" thickBot="1">
      <c r="A159" s="11" t="s">
        <v>581</v>
      </c>
      <c r="B159" s="53" t="s">
        <v>59</v>
      </c>
      <c r="C159" s="23" t="s">
        <v>14</v>
      </c>
      <c r="D159" s="118">
        <v>1.43</v>
      </c>
      <c r="E159" s="104">
        <v>977.39</v>
      </c>
      <c r="F159" s="104">
        <v>641.36</v>
      </c>
      <c r="G159" s="96">
        <f>ROUND(D159*E159,2)</f>
        <v>1397.67</v>
      </c>
      <c r="H159" s="96">
        <f>ROUND(D159*F159,2)</f>
        <v>917.14</v>
      </c>
      <c r="I159" s="18" t="str">
        <f>I57</f>
        <v> SINAPI GO74200/001</v>
      </c>
    </row>
    <row r="160" spans="1:9" ht="25.5" customHeight="1" thickBot="1">
      <c r="A160" s="298" t="s">
        <v>52</v>
      </c>
      <c r="B160" s="299"/>
      <c r="C160" s="299"/>
      <c r="D160" s="299"/>
      <c r="E160" s="299"/>
      <c r="F160" s="300"/>
      <c r="G160" s="94">
        <f>SUM(G156:G159)</f>
        <v>11036.57</v>
      </c>
      <c r="H160" s="94">
        <f>SUM(H156:H159)</f>
        <v>5661.5</v>
      </c>
      <c r="I160" s="67"/>
    </row>
    <row r="161" spans="1:9" ht="25.5" customHeight="1" thickBot="1">
      <c r="A161" s="298" t="s">
        <v>53</v>
      </c>
      <c r="B161" s="299"/>
      <c r="C161" s="299"/>
      <c r="D161" s="299"/>
      <c r="E161" s="299"/>
      <c r="F161" s="300"/>
      <c r="G161" s="301">
        <f>G160+H160</f>
        <v>16698.07</v>
      </c>
      <c r="H161" s="302"/>
      <c r="I161" s="66"/>
    </row>
    <row r="162" spans="1:9" ht="25.5" customHeight="1" thickBot="1">
      <c r="A162" s="57" t="s">
        <v>54</v>
      </c>
      <c r="B162" s="58" t="s">
        <v>66</v>
      </c>
      <c r="C162" s="59"/>
      <c r="D162" s="119"/>
      <c r="E162" s="105"/>
      <c r="F162" s="105"/>
      <c r="G162" s="93"/>
      <c r="H162" s="93"/>
      <c r="I162" s="65"/>
    </row>
    <row r="163" spans="1:9" ht="25.5" customHeight="1">
      <c r="A163" s="19" t="s">
        <v>56</v>
      </c>
      <c r="B163" s="52" t="s">
        <v>69</v>
      </c>
      <c r="C163" s="16" t="s">
        <v>8</v>
      </c>
      <c r="D163" s="118">
        <f>+(7.35+1.35+3.6+3.45+3.6+2.9+2+2.95+4.1+2.95+7.05+17*2+2.75+1.3+2.36+3.55+3.75+2.5)*3</f>
        <v>274.53</v>
      </c>
      <c r="E163" s="104">
        <v>11.83</v>
      </c>
      <c r="F163" s="104">
        <v>19.66</v>
      </c>
      <c r="G163" s="92">
        <f>ROUND(D163*E163,2)</f>
        <v>3247.69</v>
      </c>
      <c r="H163" s="92">
        <f>ROUND(D163*F163,2)</f>
        <v>5397.26</v>
      </c>
      <c r="I163" s="77" t="s">
        <v>441</v>
      </c>
    </row>
    <row r="164" spans="1:9" ht="25.5" customHeight="1">
      <c r="A164" s="19" t="s">
        <v>60</v>
      </c>
      <c r="B164" s="52" t="s">
        <v>292</v>
      </c>
      <c r="C164" s="88" t="s">
        <v>8</v>
      </c>
      <c r="D164" s="118">
        <f>+(10.7+5)*2</f>
        <v>31.4</v>
      </c>
      <c r="E164" s="104">
        <v>205.87</v>
      </c>
      <c r="F164" s="104">
        <v>48.88</v>
      </c>
      <c r="G164" s="92">
        <f>ROUND(D164*E164,2)</f>
        <v>6464.32</v>
      </c>
      <c r="H164" s="92">
        <f>ROUND(D164*F164,2)</f>
        <v>1534.83</v>
      </c>
      <c r="I164" s="132" t="s">
        <v>442</v>
      </c>
    </row>
    <row r="165" spans="1:9" ht="25.5" customHeight="1" thickBot="1">
      <c r="A165" s="19" t="s">
        <v>61</v>
      </c>
      <c r="B165" s="52" t="s">
        <v>293</v>
      </c>
      <c r="C165" s="88" t="s">
        <v>8</v>
      </c>
      <c r="D165" s="118">
        <f>1.2*0.4</f>
        <v>0.48</v>
      </c>
      <c r="E165" s="104">
        <v>57.7</v>
      </c>
      <c r="F165" s="104">
        <v>36.56</v>
      </c>
      <c r="G165" s="92">
        <f>ROUND(D165*E165,2)</f>
        <v>27.7</v>
      </c>
      <c r="H165" s="92">
        <f>ROUND(D165*F165,2)</f>
        <v>17.55</v>
      </c>
      <c r="I165" s="132" t="s">
        <v>443</v>
      </c>
    </row>
    <row r="166" spans="1:9" ht="25.5" customHeight="1" thickBot="1">
      <c r="A166" s="298" t="s">
        <v>63</v>
      </c>
      <c r="B166" s="299"/>
      <c r="C166" s="299"/>
      <c r="D166" s="299"/>
      <c r="E166" s="299"/>
      <c r="F166" s="300"/>
      <c r="G166" s="94">
        <f>SUM(G163:G165)</f>
        <v>9739.710000000001</v>
      </c>
      <c r="H166" s="94">
        <f>SUM(H163:H165)</f>
        <v>6949.64</v>
      </c>
      <c r="I166" s="67"/>
    </row>
    <row r="167" spans="1:9" ht="25.5" customHeight="1" thickBot="1">
      <c r="A167" s="298" t="s">
        <v>64</v>
      </c>
      <c r="B167" s="299"/>
      <c r="C167" s="299"/>
      <c r="D167" s="299"/>
      <c r="E167" s="299"/>
      <c r="F167" s="300"/>
      <c r="G167" s="301">
        <f>G166+H166</f>
        <v>16689.350000000002</v>
      </c>
      <c r="H167" s="302"/>
      <c r="I167" s="66"/>
    </row>
    <row r="168" spans="1:9" ht="25.5" customHeight="1" thickBot="1">
      <c r="A168" s="57" t="s">
        <v>65</v>
      </c>
      <c r="B168" s="58" t="s">
        <v>567</v>
      </c>
      <c r="C168" s="59"/>
      <c r="D168" s="119"/>
      <c r="E168" s="105"/>
      <c r="F168" s="105"/>
      <c r="G168" s="93"/>
      <c r="H168" s="93"/>
      <c r="I168" s="65"/>
    </row>
    <row r="169" spans="1:9" ht="25.5" customHeight="1">
      <c r="A169" s="19" t="s">
        <v>67</v>
      </c>
      <c r="B169" s="43" t="s">
        <v>550</v>
      </c>
      <c r="C169" s="16" t="s">
        <v>8</v>
      </c>
      <c r="D169" s="118">
        <v>124.95</v>
      </c>
      <c r="E169" s="104">
        <v>45.15</v>
      </c>
      <c r="F169" s="104">
        <v>19.35</v>
      </c>
      <c r="G169" s="92">
        <f>ROUND(D169*E169,2)</f>
        <v>5641.49</v>
      </c>
      <c r="H169" s="92">
        <f>ROUND(D169*F169,2)</f>
        <v>2417.78</v>
      </c>
      <c r="I169" s="26" t="s">
        <v>406</v>
      </c>
    </row>
    <row r="170" spans="1:9" s="141" customFormat="1" ht="25.5" customHeight="1">
      <c r="A170" s="180" t="s">
        <v>68</v>
      </c>
      <c r="B170" s="136" t="s">
        <v>549</v>
      </c>
      <c r="C170" s="137" t="s">
        <v>8</v>
      </c>
      <c r="D170" s="118">
        <v>124.95</v>
      </c>
      <c r="E170" s="104">
        <v>18.7</v>
      </c>
      <c r="F170" s="104">
        <v>5.38</v>
      </c>
      <c r="G170" s="139">
        <f>ROUND(D170*E170,2)</f>
        <v>2336.57</v>
      </c>
      <c r="H170" s="139">
        <f>ROUND(D170*F170,2)</f>
        <v>672.23</v>
      </c>
      <c r="I170" s="142" t="s">
        <v>590</v>
      </c>
    </row>
    <row r="171" spans="1:9" ht="25.5" customHeight="1">
      <c r="A171" s="19" t="s">
        <v>153</v>
      </c>
      <c r="B171" s="43" t="s">
        <v>76</v>
      </c>
      <c r="C171" s="16" t="s">
        <v>39</v>
      </c>
      <c r="D171" s="118">
        <f>16.7+7.05*2</f>
        <v>30.799999999999997</v>
      </c>
      <c r="E171" s="104">
        <v>11.38</v>
      </c>
      <c r="F171" s="104">
        <v>40.4</v>
      </c>
      <c r="G171" s="92">
        <f>ROUND(D171*E171,2)</f>
        <v>350.5</v>
      </c>
      <c r="H171" s="92">
        <f>ROUND(D171*F171,2)</f>
        <v>1244.32</v>
      </c>
      <c r="I171" s="77" t="s">
        <v>444</v>
      </c>
    </row>
    <row r="172" spans="1:9" ht="25.5" customHeight="1" thickBot="1">
      <c r="A172" s="19" t="s">
        <v>154</v>
      </c>
      <c r="B172" s="43" t="s">
        <v>77</v>
      </c>
      <c r="C172" s="18" t="s">
        <v>39</v>
      </c>
      <c r="D172" s="118">
        <f>16.7*2+7.05*2</f>
        <v>47.5</v>
      </c>
      <c r="E172" s="104">
        <v>5.78</v>
      </c>
      <c r="F172" s="104">
        <v>12.22</v>
      </c>
      <c r="G172" s="92">
        <f>ROUND(D172*E172,2)</f>
        <v>274.55</v>
      </c>
      <c r="H172" s="92">
        <f>ROUND(D172*F172,2)</f>
        <v>580.45</v>
      </c>
      <c r="I172" s="77" t="s">
        <v>445</v>
      </c>
    </row>
    <row r="173" spans="1:9" ht="25.5" customHeight="1" thickBot="1">
      <c r="A173" s="298" t="s">
        <v>70</v>
      </c>
      <c r="B173" s="299"/>
      <c r="C173" s="299"/>
      <c r="D173" s="299"/>
      <c r="E173" s="299"/>
      <c r="F173" s="300"/>
      <c r="G173" s="94">
        <f>SUM(G169:G172)</f>
        <v>8603.109999999999</v>
      </c>
      <c r="H173" s="94">
        <f>SUM(H169:H172)</f>
        <v>4914.78</v>
      </c>
      <c r="I173" s="67"/>
    </row>
    <row r="174" spans="1:9" ht="25.5" customHeight="1" thickBot="1">
      <c r="A174" s="298" t="s">
        <v>71</v>
      </c>
      <c r="B174" s="299"/>
      <c r="C174" s="299"/>
      <c r="D174" s="299"/>
      <c r="E174" s="299"/>
      <c r="F174" s="300"/>
      <c r="G174" s="301">
        <f>G173+H173</f>
        <v>13517.89</v>
      </c>
      <c r="H174" s="302"/>
      <c r="I174" s="66"/>
    </row>
    <row r="175" spans="1:9" ht="25.5" customHeight="1" thickBot="1">
      <c r="A175" s="57" t="s">
        <v>72</v>
      </c>
      <c r="B175" s="58" t="s">
        <v>568</v>
      </c>
      <c r="C175" s="59"/>
      <c r="D175" s="119"/>
      <c r="E175" s="105"/>
      <c r="F175" s="105"/>
      <c r="G175" s="93"/>
      <c r="H175" s="93"/>
      <c r="I175" s="65"/>
    </row>
    <row r="176" spans="1:9" ht="25.5" customHeight="1">
      <c r="A176" s="19" t="s">
        <v>73</v>
      </c>
      <c r="B176" s="43" t="s">
        <v>313</v>
      </c>
      <c r="C176" s="16" t="s">
        <v>8</v>
      </c>
      <c r="D176" s="118">
        <v>287.34</v>
      </c>
      <c r="E176" s="104">
        <v>45.15</v>
      </c>
      <c r="F176" s="104">
        <v>19.35</v>
      </c>
      <c r="G176" s="92">
        <f>ROUND(D176*E176,2)</f>
        <v>12973.4</v>
      </c>
      <c r="H176" s="92">
        <f>ROUND(D176*F176,2)</f>
        <v>5560.03</v>
      </c>
      <c r="I176" s="26" t="s">
        <v>406</v>
      </c>
    </row>
    <row r="177" spans="1:9" ht="25.5" customHeight="1">
      <c r="A177" s="19" t="s">
        <v>413</v>
      </c>
      <c r="B177" s="43" t="s">
        <v>287</v>
      </c>
      <c r="C177" s="16" t="s">
        <v>8</v>
      </c>
      <c r="D177" s="118">
        <v>287.34</v>
      </c>
      <c r="E177" s="104">
        <v>65.25</v>
      </c>
      <c r="F177" s="104">
        <v>17.77</v>
      </c>
      <c r="G177" s="92">
        <f>ROUND(D177*E177,2)</f>
        <v>18748.94</v>
      </c>
      <c r="H177" s="92">
        <f>ROUND(D177*F177,2)</f>
        <v>5106.03</v>
      </c>
      <c r="I177" s="11" t="s">
        <v>408</v>
      </c>
    </row>
    <row r="178" spans="1:9" ht="25.5" customHeight="1">
      <c r="A178" s="19" t="s">
        <v>74</v>
      </c>
      <c r="B178" s="43" t="s">
        <v>76</v>
      </c>
      <c r="C178" s="16" t="s">
        <v>39</v>
      </c>
      <c r="D178" s="118">
        <f>33.25+8.1</f>
        <v>41.35</v>
      </c>
      <c r="E178" s="104">
        <v>11.38</v>
      </c>
      <c r="F178" s="104">
        <v>40.4</v>
      </c>
      <c r="G178" s="92">
        <f>ROUND(D178*E178,2)</f>
        <v>470.56</v>
      </c>
      <c r="H178" s="92">
        <f>ROUND(D178*F178,2)</f>
        <v>1670.54</v>
      </c>
      <c r="I178" s="77" t="s">
        <v>444</v>
      </c>
    </row>
    <row r="179" spans="1:9" ht="25.5" customHeight="1">
      <c r="A179" s="19" t="s">
        <v>75</v>
      </c>
      <c r="B179" s="43" t="s">
        <v>288</v>
      </c>
      <c r="C179" s="16" t="s">
        <v>8</v>
      </c>
      <c r="D179" s="118">
        <f>33.25*2*1.2+8.1*2*1.2</f>
        <v>99.24</v>
      </c>
      <c r="E179" s="104">
        <v>28.7</v>
      </c>
      <c r="F179" s="104">
        <v>66.98</v>
      </c>
      <c r="G179" s="92">
        <f>ROUND(D179*E179,2)</f>
        <v>2848.19</v>
      </c>
      <c r="H179" s="92">
        <f>ROUND(D179*F179,2)</f>
        <v>6647.1</v>
      </c>
      <c r="I179" s="77" t="s">
        <v>407</v>
      </c>
    </row>
    <row r="180" spans="1:9" ht="25.5" customHeight="1" thickBot="1">
      <c r="A180" s="19" t="s">
        <v>422</v>
      </c>
      <c r="B180" s="43" t="s">
        <v>77</v>
      </c>
      <c r="C180" s="16" t="s">
        <v>39</v>
      </c>
      <c r="D180" s="118">
        <v>28.08</v>
      </c>
      <c r="E180" s="104">
        <v>5.78</v>
      </c>
      <c r="F180" s="104">
        <v>12.22</v>
      </c>
      <c r="G180" s="92">
        <f>ROUND(D180*E180,2)</f>
        <v>162.3</v>
      </c>
      <c r="H180" s="92">
        <f>ROUND(D180*F180,2)</f>
        <v>343.14</v>
      </c>
      <c r="I180" s="77" t="s">
        <v>445</v>
      </c>
    </row>
    <row r="181" spans="1:9" ht="25.5" customHeight="1" thickBot="1">
      <c r="A181" s="298" t="s">
        <v>78</v>
      </c>
      <c r="B181" s="299"/>
      <c r="C181" s="299"/>
      <c r="D181" s="299"/>
      <c r="E181" s="299"/>
      <c r="F181" s="300"/>
      <c r="G181" s="94">
        <f>SUM(G176:G180)</f>
        <v>35203.39</v>
      </c>
      <c r="H181" s="94">
        <f>SUM(H176:H180)</f>
        <v>19326.839999999997</v>
      </c>
      <c r="I181" s="67"/>
    </row>
    <row r="182" spans="1:9" ht="25.5" customHeight="1" thickBot="1">
      <c r="A182" s="298" t="s">
        <v>79</v>
      </c>
      <c r="B182" s="299"/>
      <c r="C182" s="299"/>
      <c r="D182" s="299"/>
      <c r="E182" s="299"/>
      <c r="F182" s="300"/>
      <c r="G182" s="301">
        <f>G181+H181</f>
        <v>54530.229999999996</v>
      </c>
      <c r="H182" s="302"/>
      <c r="I182" s="66"/>
    </row>
    <row r="183" spans="1:9" ht="25.5" customHeight="1" thickBot="1">
      <c r="A183" s="57" t="s">
        <v>80</v>
      </c>
      <c r="B183" s="58" t="s">
        <v>81</v>
      </c>
      <c r="C183" s="59"/>
      <c r="D183" s="119"/>
      <c r="E183" s="105"/>
      <c r="F183" s="105"/>
      <c r="G183" s="93"/>
      <c r="H183" s="93"/>
      <c r="I183" s="65"/>
    </row>
    <row r="184" spans="1:9" ht="25.5" customHeight="1">
      <c r="A184" s="19" t="s">
        <v>82</v>
      </c>
      <c r="B184" s="43" t="s">
        <v>83</v>
      </c>
      <c r="C184" s="16" t="s">
        <v>8</v>
      </c>
      <c r="D184" s="118">
        <f>124.95+64.98</f>
        <v>189.93</v>
      </c>
      <c r="E184" s="104">
        <v>3.92</v>
      </c>
      <c r="F184" s="104">
        <v>5.97</v>
      </c>
      <c r="G184" s="92">
        <f aca="true" t="shared" si="8" ref="G184:G191">ROUND(D184*E184,2)</f>
        <v>744.53</v>
      </c>
      <c r="H184" s="92">
        <f aca="true" t="shared" si="9" ref="H184:H191">ROUND(D184*F184,2)</f>
        <v>1133.88</v>
      </c>
      <c r="I184" s="77" t="s">
        <v>446</v>
      </c>
    </row>
    <row r="185" spans="1:9" ht="25.5" customHeight="1">
      <c r="A185" s="19" t="s">
        <v>84</v>
      </c>
      <c r="B185" s="43" t="s">
        <v>85</v>
      </c>
      <c r="C185" s="16" t="s">
        <v>8</v>
      </c>
      <c r="D185" s="118">
        <f>+(2.85+6+7.11111*4+3.65*6+3.8*2+7.05+1.35*3+2.1+3.45*2+3.45*3+2.9*2+2*3+2.95*4+4.1*2+7.05+16.7*2+2.75*2+3.45*2+3.55*2+3.75*2+2.5*2+7.35+6.5+2.35+1.5*2+2.2*2)*3</f>
        <v>675.28332</v>
      </c>
      <c r="E185" s="104">
        <v>1.18</v>
      </c>
      <c r="F185" s="104">
        <v>2.39</v>
      </c>
      <c r="G185" s="92">
        <f t="shared" si="8"/>
        <v>796.83</v>
      </c>
      <c r="H185" s="92">
        <f t="shared" si="9"/>
        <v>1613.93</v>
      </c>
      <c r="I185" s="77" t="s">
        <v>447</v>
      </c>
    </row>
    <row r="186" spans="1:9" ht="25.5" customHeight="1">
      <c r="A186" s="19" t="s">
        <v>86</v>
      </c>
      <c r="B186" s="43" t="s">
        <v>87</v>
      </c>
      <c r="C186" s="16"/>
      <c r="D186" s="118">
        <f>+(17*2+7.35*2+15.6*2+7.65*2)*3</f>
        <v>285.6</v>
      </c>
      <c r="E186" s="104">
        <v>1.18</v>
      </c>
      <c r="F186" s="104">
        <v>2.39</v>
      </c>
      <c r="G186" s="92">
        <f t="shared" si="8"/>
        <v>337.01</v>
      </c>
      <c r="H186" s="92">
        <f t="shared" si="9"/>
        <v>682.58</v>
      </c>
      <c r="I186" s="77" t="s">
        <v>447</v>
      </c>
    </row>
    <row r="187" spans="1:9" ht="25.5" customHeight="1">
      <c r="A187" s="19" t="s">
        <v>88</v>
      </c>
      <c r="B187" s="43" t="s">
        <v>93</v>
      </c>
      <c r="C187" s="16" t="s">
        <v>8</v>
      </c>
      <c r="D187" s="118">
        <f>124.95+64.98</f>
        <v>189.93</v>
      </c>
      <c r="E187" s="104">
        <v>6.61</v>
      </c>
      <c r="F187" s="104">
        <v>17.26</v>
      </c>
      <c r="G187" s="92">
        <f t="shared" si="8"/>
        <v>1255.44</v>
      </c>
      <c r="H187" s="92">
        <f t="shared" si="9"/>
        <v>3278.19</v>
      </c>
      <c r="I187" s="77" t="s">
        <v>448</v>
      </c>
    </row>
    <row r="188" spans="1:9" ht="25.5" customHeight="1">
      <c r="A188" s="19" t="s">
        <v>89</v>
      </c>
      <c r="B188" s="43" t="s">
        <v>94</v>
      </c>
      <c r="C188" s="16" t="s">
        <v>8</v>
      </c>
      <c r="D188" s="118">
        <f>+(2.85+6+7.11111*4+3.65*6+3.8*2+7.05+1.35*3+2.1+3.45*2+3.45*3+2.9*2+2*3+2.95*4+4.1*2+7.05+16.7*2+2.75*2+3.45*2+3.55*2+3.75*2+2.5*2+7.35+6.5+2.35+1.5*2+2.2*2)*3</f>
        <v>675.28332</v>
      </c>
      <c r="E188" s="104">
        <v>6.61</v>
      </c>
      <c r="F188" s="104">
        <v>17.26</v>
      </c>
      <c r="G188" s="92">
        <f t="shared" si="8"/>
        <v>4463.62</v>
      </c>
      <c r="H188" s="92">
        <f t="shared" si="9"/>
        <v>11655.39</v>
      </c>
      <c r="I188" s="77" t="s">
        <v>448</v>
      </c>
    </row>
    <row r="189" spans="1:9" ht="25.5" customHeight="1">
      <c r="A189" s="19" t="s">
        <v>90</v>
      </c>
      <c r="B189" s="43" t="s">
        <v>366</v>
      </c>
      <c r="C189" s="16"/>
      <c r="D189" s="118">
        <f>+(17*2+7.35*2+15.6*2+7.65*2)*3</f>
        <v>285.6</v>
      </c>
      <c r="E189" s="104">
        <v>6.61</v>
      </c>
      <c r="F189" s="104">
        <v>17.26</v>
      </c>
      <c r="G189" s="92">
        <f t="shared" si="8"/>
        <v>1887.82</v>
      </c>
      <c r="H189" s="92">
        <f t="shared" si="9"/>
        <v>4929.46</v>
      </c>
      <c r="I189" s="77" t="s">
        <v>448</v>
      </c>
    </row>
    <row r="190" spans="1:9" s="141" customFormat="1" ht="25.5" customHeight="1">
      <c r="A190" s="19" t="s">
        <v>91</v>
      </c>
      <c r="B190" s="136" t="s">
        <v>92</v>
      </c>
      <c r="C190" s="137" t="s">
        <v>8</v>
      </c>
      <c r="D190" s="118">
        <f>1.25*1.8*2+1.8*1.8+(1.35*2+1.3*2)*2*1.8+(2*2+1.7*2)*2*1.8+7.35*3+6.5*3+4.25*3+2.85*3+3.9*3+2.35*3+7*2+1.8*2+4.3*1.8*2+(2.7*2+2.1*2)*1.8+(2.3*2+1.8*2)*2*3</f>
        <v>234.61999999999998</v>
      </c>
      <c r="E190" s="104">
        <v>3.94</v>
      </c>
      <c r="F190" s="104">
        <v>9.61</v>
      </c>
      <c r="G190" s="139">
        <f t="shared" si="8"/>
        <v>924.4</v>
      </c>
      <c r="H190" s="139">
        <f t="shared" si="9"/>
        <v>2254.7</v>
      </c>
      <c r="I190" s="140" t="s">
        <v>601</v>
      </c>
    </row>
    <row r="191" spans="1:9" s="141" customFormat="1" ht="30" customHeight="1" thickBot="1">
      <c r="A191" s="19" t="s">
        <v>617</v>
      </c>
      <c r="B191" s="136" t="s">
        <v>96</v>
      </c>
      <c r="C191" s="82" t="s">
        <v>8</v>
      </c>
      <c r="D191" s="118">
        <f>1.25*1.8*2+1.8*1.8+(1.35*2+1.3*2)*2*1.8+(2*2+1.7*2)*2*1.8+7.35*3+6.5*3+4.25*3+2.85*3+3.9*3+2.35*3+7*2+1.8*2+4.3*1.8*2+(2.7*2+2.1*2)*1.8+(2.3*2+1.8*2)*2*3</f>
        <v>234.61999999999998</v>
      </c>
      <c r="E191" s="104">
        <v>18.78</v>
      </c>
      <c r="F191" s="104">
        <v>18.74</v>
      </c>
      <c r="G191" s="139">
        <f t="shared" si="8"/>
        <v>4406.16</v>
      </c>
      <c r="H191" s="139">
        <f t="shared" si="9"/>
        <v>4396.78</v>
      </c>
      <c r="I191" s="140" t="s">
        <v>449</v>
      </c>
    </row>
    <row r="192" spans="1:9" ht="25.5" customHeight="1" thickBot="1">
      <c r="A192" s="298" t="s">
        <v>97</v>
      </c>
      <c r="B192" s="299"/>
      <c r="C192" s="299"/>
      <c r="D192" s="299"/>
      <c r="E192" s="299"/>
      <c r="F192" s="300"/>
      <c r="G192" s="94">
        <f>SUM(G184:G191)</f>
        <v>14815.81</v>
      </c>
      <c r="H192" s="94">
        <f>SUM(H184:H191)</f>
        <v>29944.91</v>
      </c>
      <c r="I192" s="67"/>
    </row>
    <row r="193" spans="1:9" ht="25.5" customHeight="1" thickBot="1">
      <c r="A193" s="298" t="s">
        <v>98</v>
      </c>
      <c r="B193" s="299"/>
      <c r="C193" s="299"/>
      <c r="D193" s="299"/>
      <c r="E193" s="299"/>
      <c r="F193" s="300"/>
      <c r="G193" s="301">
        <f>G192+H192</f>
        <v>44760.72</v>
      </c>
      <c r="H193" s="302"/>
      <c r="I193" s="66"/>
    </row>
    <row r="194" spans="1:9" ht="25.5" customHeight="1" thickBot="1">
      <c r="A194" s="57" t="s">
        <v>99</v>
      </c>
      <c r="B194" s="58" t="s">
        <v>100</v>
      </c>
      <c r="C194" s="59"/>
      <c r="D194" s="119"/>
      <c r="E194" s="105"/>
      <c r="F194" s="105"/>
      <c r="G194" s="93"/>
      <c r="H194" s="93"/>
      <c r="I194" s="65"/>
    </row>
    <row r="195" spans="1:9" ht="25.5" customHeight="1">
      <c r="A195" s="11" t="s">
        <v>101</v>
      </c>
      <c r="B195" s="40" t="s">
        <v>554</v>
      </c>
      <c r="C195" s="11" t="s">
        <v>8</v>
      </c>
      <c r="D195" s="118">
        <f>5*0.6*0.6</f>
        <v>1.7999999999999998</v>
      </c>
      <c r="E195" s="104">
        <v>339.66</v>
      </c>
      <c r="F195" s="104">
        <v>30.63</v>
      </c>
      <c r="G195" s="92">
        <f aca="true" t="shared" si="10" ref="G195:G200">ROUND(D195*E195,2)</f>
        <v>611.39</v>
      </c>
      <c r="H195" s="92">
        <f aca="true" t="shared" si="11" ref="H195:H200">ROUND(D195*F195,2)</f>
        <v>55.13</v>
      </c>
      <c r="I195" s="79" t="s">
        <v>450</v>
      </c>
    </row>
    <row r="196" spans="1:9" ht="30.75" customHeight="1">
      <c r="A196" s="11" t="s">
        <v>102</v>
      </c>
      <c r="B196" s="40" t="s">
        <v>555</v>
      </c>
      <c r="C196" s="11" t="s">
        <v>8</v>
      </c>
      <c r="D196" s="118">
        <f>2*1.2*0.6</f>
        <v>1.44</v>
      </c>
      <c r="E196" s="104">
        <v>339.66</v>
      </c>
      <c r="F196" s="104">
        <v>30.63</v>
      </c>
      <c r="G196" s="92">
        <f t="shared" si="10"/>
        <v>489.11</v>
      </c>
      <c r="H196" s="92">
        <f t="shared" si="11"/>
        <v>44.11</v>
      </c>
      <c r="I196" s="79" t="s">
        <v>450</v>
      </c>
    </row>
    <row r="197" spans="1:113" s="40" customFormat="1" ht="25.5" customHeight="1">
      <c r="A197" s="11" t="s">
        <v>414</v>
      </c>
      <c r="B197" s="40" t="s">
        <v>556</v>
      </c>
      <c r="C197" s="11" t="s">
        <v>8</v>
      </c>
      <c r="D197" s="118">
        <f>2*1.8*0.6</f>
        <v>2.16</v>
      </c>
      <c r="E197" s="104">
        <v>339.66</v>
      </c>
      <c r="F197" s="104">
        <v>30.63</v>
      </c>
      <c r="G197" s="92">
        <f t="shared" si="10"/>
        <v>733.67</v>
      </c>
      <c r="H197" s="92">
        <f t="shared" si="11"/>
        <v>66.16</v>
      </c>
      <c r="I197" s="79" t="s">
        <v>450</v>
      </c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/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</row>
    <row r="198" spans="1:9" s="90" customFormat="1" ht="25.5" customHeight="1">
      <c r="A198" s="11" t="s">
        <v>103</v>
      </c>
      <c r="B198" s="40" t="s">
        <v>557</v>
      </c>
      <c r="C198" s="11" t="s">
        <v>8</v>
      </c>
      <c r="D198" s="118">
        <f>4*1.2*1.2</f>
        <v>5.76</v>
      </c>
      <c r="E198" s="104">
        <v>339.66</v>
      </c>
      <c r="F198" s="104">
        <v>30.63</v>
      </c>
      <c r="G198" s="92">
        <f t="shared" si="10"/>
        <v>1956.44</v>
      </c>
      <c r="H198" s="92">
        <f t="shared" si="11"/>
        <v>176.43</v>
      </c>
      <c r="I198" s="79" t="s">
        <v>450</v>
      </c>
    </row>
    <row r="199" spans="1:9" ht="25.5" customHeight="1">
      <c r="A199" s="11" t="s">
        <v>104</v>
      </c>
      <c r="B199" s="40" t="s">
        <v>558</v>
      </c>
      <c r="C199" s="11" t="s">
        <v>8</v>
      </c>
      <c r="D199" s="118">
        <f>5*1.8*1.2</f>
        <v>10.799999999999999</v>
      </c>
      <c r="E199" s="104">
        <v>339.66</v>
      </c>
      <c r="F199" s="104">
        <v>30.63</v>
      </c>
      <c r="G199" s="92">
        <f t="shared" si="10"/>
        <v>3668.33</v>
      </c>
      <c r="H199" s="92">
        <f t="shared" si="11"/>
        <v>330.8</v>
      </c>
      <c r="I199" s="79" t="s">
        <v>450</v>
      </c>
    </row>
    <row r="200" spans="1:9" s="90" customFormat="1" ht="25.5" customHeight="1">
      <c r="A200" s="11" t="s">
        <v>582</v>
      </c>
      <c r="B200" s="40" t="s">
        <v>559</v>
      </c>
      <c r="C200" s="11" t="s">
        <v>8</v>
      </c>
      <c r="D200" s="118">
        <f>2.4*9*1.2</f>
        <v>25.919999999999998</v>
      </c>
      <c r="E200" s="104">
        <v>339.66</v>
      </c>
      <c r="F200" s="104">
        <v>30.63</v>
      </c>
      <c r="G200" s="92">
        <f t="shared" si="10"/>
        <v>8803.99</v>
      </c>
      <c r="H200" s="92">
        <f t="shared" si="11"/>
        <v>793.93</v>
      </c>
      <c r="I200" s="79" t="s">
        <v>450</v>
      </c>
    </row>
    <row r="201" spans="1:113" s="40" customFormat="1" ht="25.5" customHeight="1">
      <c r="A201" s="11" t="s">
        <v>583</v>
      </c>
      <c r="B201" s="40" t="s">
        <v>374</v>
      </c>
      <c r="C201" s="11" t="s">
        <v>8</v>
      </c>
      <c r="D201" s="118">
        <v>2</v>
      </c>
      <c r="E201" s="104">
        <v>209.08</v>
      </c>
      <c r="F201" s="104">
        <v>31.24</v>
      </c>
      <c r="G201" s="107">
        <f>ROUND(D201*E201,2)</f>
        <v>418.16</v>
      </c>
      <c r="H201" s="107">
        <f>ROUND(D201*F201,2)</f>
        <v>62.48</v>
      </c>
      <c r="I201" s="79" t="s">
        <v>602</v>
      </c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</row>
    <row r="202" spans="1:9" s="90" customFormat="1" ht="25.5" customHeight="1">
      <c r="A202" s="11" t="s">
        <v>584</v>
      </c>
      <c r="B202" s="40" t="s">
        <v>569</v>
      </c>
      <c r="C202" s="11" t="s">
        <v>8</v>
      </c>
      <c r="D202" s="118">
        <v>2</v>
      </c>
      <c r="E202" s="108">
        <v>169.02</v>
      </c>
      <c r="F202" s="108">
        <v>30.14</v>
      </c>
      <c r="G202" s="107">
        <f>ROUND(D202*E202,2)</f>
        <v>338.04</v>
      </c>
      <c r="H202" s="107">
        <f>ROUND(D202*F202,2)</f>
        <v>60.28</v>
      </c>
      <c r="I202" s="133" t="s">
        <v>605</v>
      </c>
    </row>
    <row r="203" spans="1:9" s="90" customFormat="1" ht="25.5" customHeight="1" thickBot="1">
      <c r="A203" s="11" t="s">
        <v>618</v>
      </c>
      <c r="B203" s="40" t="s">
        <v>570</v>
      </c>
      <c r="C203" s="11" t="s">
        <v>8</v>
      </c>
      <c r="D203" s="118">
        <v>2</v>
      </c>
      <c r="E203" s="108">
        <v>169.02</v>
      </c>
      <c r="F203" s="108">
        <v>30.14</v>
      </c>
      <c r="G203" s="107">
        <f>ROUND(D203*E203,2)</f>
        <v>338.04</v>
      </c>
      <c r="H203" s="107">
        <f>ROUND(D203*F203,2)</f>
        <v>60.28</v>
      </c>
      <c r="I203" s="133" t="s">
        <v>605</v>
      </c>
    </row>
    <row r="204" spans="1:9" ht="25.5" customHeight="1" thickBot="1">
      <c r="A204" s="298" t="s">
        <v>105</v>
      </c>
      <c r="B204" s="299"/>
      <c r="C204" s="299"/>
      <c r="D204" s="299"/>
      <c r="E204" s="299"/>
      <c r="F204" s="300"/>
      <c r="G204" s="94">
        <f>SUM(G195:G203)</f>
        <v>17357.170000000002</v>
      </c>
      <c r="H204" s="94">
        <f>SUM(H195:H203)</f>
        <v>1649.6</v>
      </c>
      <c r="I204" s="67"/>
    </row>
    <row r="205" spans="1:9" ht="25.5" customHeight="1" thickBot="1">
      <c r="A205" s="298" t="s">
        <v>106</v>
      </c>
      <c r="B205" s="299"/>
      <c r="C205" s="299"/>
      <c r="D205" s="299"/>
      <c r="E205" s="299"/>
      <c r="F205" s="300"/>
      <c r="G205" s="301">
        <f>G204+H204</f>
        <v>19006.77</v>
      </c>
      <c r="H205" s="302"/>
      <c r="I205" s="66"/>
    </row>
    <row r="206" spans="1:9" ht="25.5" customHeight="1" thickBot="1">
      <c r="A206" s="57" t="s">
        <v>107</v>
      </c>
      <c r="B206" s="58" t="s">
        <v>108</v>
      </c>
      <c r="C206" s="59"/>
      <c r="D206" s="119"/>
      <c r="E206" s="105"/>
      <c r="F206" s="105"/>
      <c r="G206" s="93"/>
      <c r="H206" s="93"/>
      <c r="I206" s="65"/>
    </row>
    <row r="207" spans="1:9" ht="25.5" customHeight="1">
      <c r="A207" s="19" t="s">
        <v>109</v>
      </c>
      <c r="B207" s="50" t="s">
        <v>561</v>
      </c>
      <c r="C207" s="16" t="s">
        <v>2</v>
      </c>
      <c r="D207" s="123">
        <v>12</v>
      </c>
      <c r="E207" s="104">
        <v>192.27</v>
      </c>
      <c r="F207" s="104">
        <v>102.79</v>
      </c>
      <c r="G207" s="92">
        <f>ROUND(D207*E207,2)</f>
        <v>2307.24</v>
      </c>
      <c r="H207" s="92">
        <f>ROUND(D207*F207,2)</f>
        <v>1233.48</v>
      </c>
      <c r="I207" s="78" t="s">
        <v>603</v>
      </c>
    </row>
    <row r="208" spans="1:9" s="141" customFormat="1" ht="25.5" customHeight="1" thickBot="1">
      <c r="A208" s="180" t="s">
        <v>157</v>
      </c>
      <c r="B208" s="172" t="s">
        <v>562</v>
      </c>
      <c r="C208" s="173"/>
      <c r="D208" s="174">
        <v>4</v>
      </c>
      <c r="E208" s="106">
        <v>272.23</v>
      </c>
      <c r="F208" s="106">
        <v>112.82</v>
      </c>
      <c r="G208" s="139">
        <f>ROUND(D208*E208,2)</f>
        <v>1088.92</v>
      </c>
      <c r="H208" s="139">
        <f>ROUND(D208*F208,2)</f>
        <v>451.28</v>
      </c>
      <c r="I208" s="181" t="s">
        <v>592</v>
      </c>
    </row>
    <row r="209" spans="1:9" ht="25.5" customHeight="1" thickBot="1">
      <c r="A209" s="298" t="s">
        <v>110</v>
      </c>
      <c r="B209" s="299"/>
      <c r="C209" s="299"/>
      <c r="D209" s="299"/>
      <c r="E209" s="299"/>
      <c r="F209" s="300"/>
      <c r="G209" s="94">
        <f>SUM(G207:G208)</f>
        <v>3396.16</v>
      </c>
      <c r="H209" s="94">
        <f>SUM(H207:H208)</f>
        <v>1684.76</v>
      </c>
      <c r="I209" s="67"/>
    </row>
    <row r="210" spans="1:9" ht="25.5" customHeight="1" thickBot="1">
      <c r="A210" s="298" t="s">
        <v>111</v>
      </c>
      <c r="B210" s="299"/>
      <c r="C210" s="299"/>
      <c r="D210" s="299"/>
      <c r="E210" s="299"/>
      <c r="F210" s="300"/>
      <c r="G210" s="301">
        <f>G209+H209</f>
        <v>5080.92</v>
      </c>
      <c r="H210" s="302"/>
      <c r="I210" s="66"/>
    </row>
    <row r="211" spans="1:9" ht="25.5" customHeight="1" thickBot="1">
      <c r="A211" s="57" t="s">
        <v>112</v>
      </c>
      <c r="B211" s="58" t="s">
        <v>127</v>
      </c>
      <c r="C211" s="59"/>
      <c r="D211" s="119"/>
      <c r="E211" s="105"/>
      <c r="F211" s="105"/>
      <c r="G211" s="93"/>
      <c r="H211" s="93"/>
      <c r="I211" s="65"/>
    </row>
    <row r="212" spans="1:9" ht="25.5" customHeight="1" thickBot="1">
      <c r="A212" s="115" t="s">
        <v>113</v>
      </c>
      <c r="B212" s="50" t="s">
        <v>312</v>
      </c>
      <c r="C212" s="89" t="s">
        <v>8</v>
      </c>
      <c r="D212" s="123">
        <v>6</v>
      </c>
      <c r="E212" s="104">
        <v>163.36</v>
      </c>
      <c r="F212" s="104">
        <v>0</v>
      </c>
      <c r="G212" s="92">
        <f>ROUND(D212*E212,2)</f>
        <v>980.16</v>
      </c>
      <c r="H212" s="92">
        <f>ROUND(D212*F212,2)</f>
        <v>0</v>
      </c>
      <c r="I212" s="78" t="s">
        <v>462</v>
      </c>
    </row>
    <row r="213" spans="1:9" ht="25.5" customHeight="1" thickBot="1">
      <c r="A213" s="298" t="s">
        <v>114</v>
      </c>
      <c r="B213" s="299"/>
      <c r="C213" s="299"/>
      <c r="D213" s="299"/>
      <c r="E213" s="299"/>
      <c r="F213" s="300"/>
      <c r="G213" s="94">
        <f>SUM(G212)</f>
        <v>980.16</v>
      </c>
      <c r="H213" s="94">
        <f>SUM(H210:H212)</f>
        <v>0</v>
      </c>
      <c r="I213" s="67"/>
    </row>
    <row r="214" spans="1:9" ht="25.5" customHeight="1" thickBot="1">
      <c r="A214" s="298" t="s">
        <v>115</v>
      </c>
      <c r="B214" s="299"/>
      <c r="C214" s="299"/>
      <c r="D214" s="299"/>
      <c r="E214" s="299"/>
      <c r="F214" s="300"/>
      <c r="G214" s="301">
        <f>G213+H213</f>
        <v>980.16</v>
      </c>
      <c r="H214" s="302"/>
      <c r="I214" s="66"/>
    </row>
    <row r="215" spans="1:9" ht="25.5" customHeight="1" thickBot="1">
      <c r="A215" s="57" t="s">
        <v>116</v>
      </c>
      <c r="B215" s="58" t="s">
        <v>117</v>
      </c>
      <c r="C215" s="59"/>
      <c r="D215" s="119"/>
      <c r="E215" s="105"/>
      <c r="F215" s="105"/>
      <c r="G215" s="93"/>
      <c r="H215" s="93"/>
      <c r="I215" s="65"/>
    </row>
    <row r="216" spans="1:9" ht="51" customHeight="1">
      <c r="A216" s="19" t="s">
        <v>118</v>
      </c>
      <c r="B216" s="50" t="s">
        <v>155</v>
      </c>
      <c r="C216" s="16" t="s">
        <v>8</v>
      </c>
      <c r="D216" s="123">
        <v>725.96</v>
      </c>
      <c r="E216" s="104">
        <v>9.38</v>
      </c>
      <c r="F216" s="104">
        <v>7.36</v>
      </c>
      <c r="G216" s="92">
        <f>ROUND(D216*E216,2)</f>
        <v>6809.5</v>
      </c>
      <c r="H216" s="92">
        <f>ROUND(D216*F216,2)</f>
        <v>5343.07</v>
      </c>
      <c r="I216" s="77" t="s">
        <v>451</v>
      </c>
    </row>
    <row r="217" spans="1:9" ht="51" customHeight="1">
      <c r="A217" s="19" t="s">
        <v>119</v>
      </c>
      <c r="B217" s="50" t="s">
        <v>311</v>
      </c>
      <c r="C217" s="16" t="s">
        <v>8</v>
      </c>
      <c r="D217" s="123">
        <f>124.95+117.67</f>
        <v>242.62</v>
      </c>
      <c r="E217" s="104">
        <v>6.02</v>
      </c>
      <c r="F217" s="104">
        <v>7.03</v>
      </c>
      <c r="G217" s="92">
        <f>ROUND(D217*E217,2)</f>
        <v>1460.57</v>
      </c>
      <c r="H217" s="92">
        <f>ROUND(D217*F217,2)</f>
        <v>1705.62</v>
      </c>
      <c r="I217" s="77" t="s">
        <v>452</v>
      </c>
    </row>
    <row r="218" spans="1:9" ht="51" customHeight="1">
      <c r="A218" s="19" t="s">
        <v>120</v>
      </c>
      <c r="B218" s="50" t="s">
        <v>308</v>
      </c>
      <c r="C218" s="16" t="s">
        <v>8</v>
      </c>
      <c r="D218" s="123">
        <f>124.95+117.67</f>
        <v>242.62</v>
      </c>
      <c r="E218" s="104">
        <v>31.57</v>
      </c>
      <c r="F218" s="104">
        <v>19.59</v>
      </c>
      <c r="G218" s="92">
        <f>ROUND(D218*E218,2)</f>
        <v>7659.51</v>
      </c>
      <c r="H218" s="92">
        <f>ROUND(D218*F218,2)</f>
        <v>4752.93</v>
      </c>
      <c r="I218" s="77" t="s">
        <v>453</v>
      </c>
    </row>
    <row r="219" spans="1:9" ht="25.5" customHeight="1">
      <c r="A219" s="19" t="s">
        <v>121</v>
      </c>
      <c r="B219" s="50" t="s">
        <v>123</v>
      </c>
      <c r="C219" s="16" t="s">
        <v>39</v>
      </c>
      <c r="D219" s="123">
        <f>+(2.85+6+7.1*4+3.65*6+3.8*2+7.05+1.35*3+2.1+3.45*2+3.45*3+2.9*2+2*3+2.95*4+4.1*2+7.05+16.7*2+2.75*2+3.45*2+3.55*2+3.75*2+2.5*2+7.35+6.5+2.35+1.5*2+2.2*2)*0.07</f>
        <v>15.7535</v>
      </c>
      <c r="E219" s="104">
        <v>1.85</v>
      </c>
      <c r="F219" s="104">
        <v>4.56</v>
      </c>
      <c r="G219" s="92">
        <f>ROUND(D219*E219,2)</f>
        <v>29.14</v>
      </c>
      <c r="H219" s="92">
        <f>ROUND(D219*F219,2)</f>
        <v>71.84</v>
      </c>
      <c r="I219" s="77" t="s">
        <v>454</v>
      </c>
    </row>
    <row r="220" spans="1:9" s="141" customFormat="1" ht="39.75" customHeight="1" thickBot="1">
      <c r="A220" s="180" t="s">
        <v>122</v>
      </c>
      <c r="B220" s="176" t="s">
        <v>572</v>
      </c>
      <c r="C220" s="177" t="s">
        <v>8</v>
      </c>
      <c r="D220" s="123">
        <f>725.96-242.62</f>
        <v>483.34000000000003</v>
      </c>
      <c r="E220" s="155">
        <v>6.53</v>
      </c>
      <c r="F220" s="106">
        <v>9.72</v>
      </c>
      <c r="G220" s="178">
        <f>ROUND(D220*E220,2)</f>
        <v>3156.21</v>
      </c>
      <c r="H220" s="178">
        <f>ROUND(D220*F220,2)</f>
        <v>4698.06</v>
      </c>
      <c r="I220" s="179" t="s">
        <v>594</v>
      </c>
    </row>
    <row r="221" spans="1:9" ht="25.5" customHeight="1" thickBot="1">
      <c r="A221" s="298" t="s">
        <v>124</v>
      </c>
      <c r="B221" s="299"/>
      <c r="C221" s="299"/>
      <c r="D221" s="299"/>
      <c r="E221" s="299"/>
      <c r="F221" s="300"/>
      <c r="G221" s="94">
        <f>SUM(G216:G220)</f>
        <v>19114.93</v>
      </c>
      <c r="H221" s="94">
        <f>SUM(H216:H220)</f>
        <v>16571.52</v>
      </c>
      <c r="I221" s="67"/>
    </row>
    <row r="222" spans="1:9" ht="25.5" customHeight="1" thickBot="1">
      <c r="A222" s="298" t="s">
        <v>125</v>
      </c>
      <c r="B222" s="299"/>
      <c r="C222" s="299"/>
      <c r="D222" s="299"/>
      <c r="E222" s="299"/>
      <c r="F222" s="300"/>
      <c r="G222" s="301">
        <f>G221+H221</f>
        <v>35686.45</v>
      </c>
      <c r="H222" s="302"/>
      <c r="I222" s="63"/>
    </row>
    <row r="223" spans="1:9" ht="25.5" customHeight="1" thickBot="1">
      <c r="A223" s="57" t="s">
        <v>126</v>
      </c>
      <c r="B223" s="58" t="s">
        <v>156</v>
      </c>
      <c r="C223" s="59"/>
      <c r="D223" s="119"/>
      <c r="E223" s="105"/>
      <c r="F223" s="105"/>
      <c r="G223" s="93"/>
      <c r="H223" s="93"/>
      <c r="I223" s="65"/>
    </row>
    <row r="224" spans="1:9" ht="33.75" customHeight="1">
      <c r="A224" s="9" t="s">
        <v>128</v>
      </c>
      <c r="B224" s="46" t="s">
        <v>294</v>
      </c>
      <c r="C224" s="10" t="s">
        <v>2</v>
      </c>
      <c r="D224" s="121">
        <v>4</v>
      </c>
      <c r="E224" s="104">
        <v>0</v>
      </c>
      <c r="F224" s="104">
        <v>300</v>
      </c>
      <c r="G224" s="92">
        <f>ROUND(D224*E224,2)</f>
        <v>0</v>
      </c>
      <c r="H224" s="92">
        <f>ROUND(D224*F224,2)</f>
        <v>1200</v>
      </c>
      <c r="I224" s="83"/>
    </row>
    <row r="225" spans="1:9" s="141" customFormat="1" ht="26.25" customHeight="1" thickBot="1">
      <c r="A225" s="9" t="s">
        <v>423</v>
      </c>
      <c r="B225" s="182" t="s">
        <v>599</v>
      </c>
      <c r="C225" s="12" t="s">
        <v>2</v>
      </c>
      <c r="D225" s="120">
        <v>1</v>
      </c>
      <c r="E225" s="104">
        <v>12791.02</v>
      </c>
      <c r="F225" s="104">
        <v>1157.46</v>
      </c>
      <c r="G225" s="139">
        <f>ROUND(D225*E225,2)</f>
        <v>12791.02</v>
      </c>
      <c r="H225" s="139">
        <f>ROUND(D225*F225,2)</f>
        <v>1157.46</v>
      </c>
      <c r="I225" s="83" t="s">
        <v>606</v>
      </c>
    </row>
    <row r="226" spans="1:9" ht="25.5" customHeight="1" thickBot="1">
      <c r="A226" s="298" t="s">
        <v>129</v>
      </c>
      <c r="B226" s="299"/>
      <c r="C226" s="299"/>
      <c r="D226" s="299"/>
      <c r="E226" s="299"/>
      <c r="F226" s="300"/>
      <c r="G226" s="94">
        <f>SUM(G224:G225)</f>
        <v>12791.02</v>
      </c>
      <c r="H226" s="94">
        <f>SUM(H223:H225)</f>
        <v>2357.46</v>
      </c>
      <c r="I226" s="67"/>
    </row>
    <row r="227" spans="1:9" ht="25.5" customHeight="1" thickBot="1">
      <c r="A227" s="298" t="s">
        <v>130</v>
      </c>
      <c r="B227" s="299"/>
      <c r="C227" s="299"/>
      <c r="D227" s="299"/>
      <c r="E227" s="299"/>
      <c r="F227" s="300"/>
      <c r="G227" s="301">
        <f>G226+H226</f>
        <v>15148.48</v>
      </c>
      <c r="H227" s="302"/>
      <c r="I227" s="66"/>
    </row>
    <row r="228" spans="1:9" ht="25.5" customHeight="1" thickBot="1">
      <c r="A228" s="57" t="s">
        <v>131</v>
      </c>
      <c r="B228" s="58" t="s">
        <v>138</v>
      </c>
      <c r="C228" s="59"/>
      <c r="D228" s="119"/>
      <c r="E228" s="105"/>
      <c r="F228" s="105"/>
      <c r="G228" s="93"/>
      <c r="H228" s="93"/>
      <c r="I228" s="65"/>
    </row>
    <row r="229" spans="1:9" ht="25.5" customHeight="1">
      <c r="A229" s="19" t="s">
        <v>132</v>
      </c>
      <c r="B229" s="39" t="s">
        <v>140</v>
      </c>
      <c r="C229" s="16" t="s">
        <v>8</v>
      </c>
      <c r="D229" s="120">
        <f>124.95+64.98</f>
        <v>189.93</v>
      </c>
      <c r="E229" s="104">
        <v>0.65</v>
      </c>
      <c r="F229" s="104">
        <v>0.63</v>
      </c>
      <c r="G229" s="92">
        <f aca="true" t="shared" si="12" ref="G229:G236">ROUND(D229*E229,2)</f>
        <v>123.45</v>
      </c>
      <c r="H229" s="92">
        <f aca="true" t="shared" si="13" ref="H229:H236">ROUND(D229*F229,2)</f>
        <v>119.66</v>
      </c>
      <c r="I229" s="11" t="s">
        <v>458</v>
      </c>
    </row>
    <row r="230" spans="1:9" ht="25.5" customHeight="1">
      <c r="A230" s="19" t="s">
        <v>133</v>
      </c>
      <c r="B230" s="39" t="s">
        <v>271</v>
      </c>
      <c r="C230" s="16" t="s">
        <v>8</v>
      </c>
      <c r="D230" s="120">
        <f>+(2.85+6+7.11111*4+3.65*6+3.8*2+7.05+1.35*3+2.1+3.45*2+3.45*3+2.9*2+2*3+2.95*4+4.1*2+7.05+16.7*2+2.75*2+3.45*2+3.55*2+3.75*2+2.5*2+7.35+6.5+2.35+1.5*2+2.2*2)*3</f>
        <v>675.28332</v>
      </c>
      <c r="E230" s="104">
        <v>1.37</v>
      </c>
      <c r="F230" s="104">
        <v>6.32</v>
      </c>
      <c r="G230" s="92">
        <f t="shared" si="12"/>
        <v>925.14</v>
      </c>
      <c r="H230" s="92">
        <f t="shared" si="13"/>
        <v>4267.79</v>
      </c>
      <c r="I230" s="11" t="s">
        <v>459</v>
      </c>
    </row>
    <row r="231" spans="1:9" ht="25.5" customHeight="1">
      <c r="A231" s="19" t="s">
        <v>163</v>
      </c>
      <c r="B231" s="39" t="s">
        <v>143</v>
      </c>
      <c r="C231" s="18" t="s">
        <v>8</v>
      </c>
      <c r="D231" s="120">
        <f>+(17*2+7.35*2+15.6*2+7.65*2)*3</f>
        <v>285.6</v>
      </c>
      <c r="E231" s="104">
        <v>0.65</v>
      </c>
      <c r="F231" s="104">
        <v>0.63</v>
      </c>
      <c r="G231" s="92">
        <f t="shared" si="12"/>
        <v>185.64</v>
      </c>
      <c r="H231" s="92">
        <f t="shared" si="13"/>
        <v>179.93</v>
      </c>
      <c r="I231" s="11" t="s">
        <v>458</v>
      </c>
    </row>
    <row r="232" spans="1:9" ht="25.5" customHeight="1">
      <c r="A232" s="19" t="s">
        <v>164</v>
      </c>
      <c r="B232" s="39" t="s">
        <v>144</v>
      </c>
      <c r="C232" s="11" t="s">
        <v>8</v>
      </c>
      <c r="D232" s="120">
        <f>124.95+64.98</f>
        <v>189.93</v>
      </c>
      <c r="E232" s="104">
        <v>2.17</v>
      </c>
      <c r="F232" s="104">
        <v>4.32</v>
      </c>
      <c r="G232" s="92">
        <f t="shared" si="12"/>
        <v>412.15</v>
      </c>
      <c r="H232" s="92">
        <f t="shared" si="13"/>
        <v>820.5</v>
      </c>
      <c r="I232" s="77" t="s">
        <v>604</v>
      </c>
    </row>
    <row r="233" spans="1:9" ht="25.5" customHeight="1">
      <c r="A233" s="19" t="s">
        <v>571</v>
      </c>
      <c r="B233" s="39" t="s">
        <v>145</v>
      </c>
      <c r="C233" s="16" t="s">
        <v>8</v>
      </c>
      <c r="D233" s="120">
        <f>+(2.85+6+7.11111*4+3.65*6+3.8*2+7.05+1.35*3+2.1+3.45*2+3.45*3+2.9*2+2*3+2.95*4+4.1*2+7.05+16.7*2+2.75*2+3.45*2+3.55*2+3.75*2+2.5*2+7.35+6.5+2.35+1.5*2+2.2*2)*3</f>
        <v>675.28332</v>
      </c>
      <c r="E233" s="104">
        <v>2.17</v>
      </c>
      <c r="F233" s="104">
        <v>4.32</v>
      </c>
      <c r="G233" s="92">
        <f t="shared" si="12"/>
        <v>1465.36</v>
      </c>
      <c r="H233" s="92">
        <f t="shared" si="13"/>
        <v>2917.22</v>
      </c>
      <c r="I233" s="77" t="s">
        <v>604</v>
      </c>
    </row>
    <row r="234" spans="1:9" ht="25.5" customHeight="1">
      <c r="A234" s="19" t="s">
        <v>619</v>
      </c>
      <c r="B234" s="39" t="s">
        <v>270</v>
      </c>
      <c r="C234" s="18" t="s">
        <v>8</v>
      </c>
      <c r="D234" s="120">
        <f>124.95+64.98</f>
        <v>189.93</v>
      </c>
      <c r="E234" s="104">
        <v>2.52</v>
      </c>
      <c r="F234" s="104">
        <v>5.12</v>
      </c>
      <c r="G234" s="92">
        <f t="shared" si="12"/>
        <v>478.62</v>
      </c>
      <c r="H234" s="92">
        <f t="shared" si="13"/>
        <v>972.44</v>
      </c>
      <c r="I234" s="77" t="s">
        <v>541</v>
      </c>
    </row>
    <row r="235" spans="1:9" ht="25.5" customHeight="1">
      <c r="A235" s="19" t="s">
        <v>620</v>
      </c>
      <c r="B235" s="39" t="s">
        <v>146</v>
      </c>
      <c r="C235" s="11" t="s">
        <v>8</v>
      </c>
      <c r="D235" s="123">
        <v>22</v>
      </c>
      <c r="E235" s="104">
        <v>2.16</v>
      </c>
      <c r="F235" s="104">
        <v>9.66</v>
      </c>
      <c r="G235" s="92">
        <f t="shared" si="12"/>
        <v>47.52</v>
      </c>
      <c r="H235" s="92">
        <f t="shared" si="13"/>
        <v>212.52</v>
      </c>
      <c r="I235" s="77" t="s">
        <v>460</v>
      </c>
    </row>
    <row r="236" spans="1:9" ht="25.5" customHeight="1" thickBot="1">
      <c r="A236" s="19" t="s">
        <v>621</v>
      </c>
      <c r="B236" s="39" t="s">
        <v>614</v>
      </c>
      <c r="C236" s="11" t="s">
        <v>8</v>
      </c>
      <c r="D236" s="123">
        <v>455</v>
      </c>
      <c r="E236" s="104">
        <v>2.16</v>
      </c>
      <c r="F236" s="104">
        <v>9.66</v>
      </c>
      <c r="G236" s="92">
        <f t="shared" si="12"/>
        <v>982.8</v>
      </c>
      <c r="H236" s="92">
        <f t="shared" si="13"/>
        <v>4395.3</v>
      </c>
      <c r="I236" s="77" t="s">
        <v>460</v>
      </c>
    </row>
    <row r="237" spans="1:9" ht="25.5" customHeight="1" thickBot="1">
      <c r="A237" s="298" t="s">
        <v>134</v>
      </c>
      <c r="B237" s="299"/>
      <c r="C237" s="299"/>
      <c r="D237" s="299"/>
      <c r="E237" s="299"/>
      <c r="F237" s="300"/>
      <c r="G237" s="94">
        <f>SUM(G229:G236)</f>
        <v>4620.679999999999</v>
      </c>
      <c r="H237" s="94">
        <f>SUM(H229:H236)</f>
        <v>13885.36</v>
      </c>
      <c r="I237" s="67"/>
    </row>
    <row r="238" spans="1:9" ht="25.5" customHeight="1" thickBot="1">
      <c r="A238" s="298" t="s">
        <v>135</v>
      </c>
      <c r="B238" s="299"/>
      <c r="C238" s="299"/>
      <c r="D238" s="299"/>
      <c r="E238" s="299"/>
      <c r="F238" s="300"/>
      <c r="G238" s="301">
        <f>G237+H237</f>
        <v>18506.04</v>
      </c>
      <c r="H238" s="302"/>
      <c r="I238" s="63"/>
    </row>
    <row r="239" spans="1:9" ht="25.5" customHeight="1" thickBot="1">
      <c r="A239" s="57" t="s">
        <v>136</v>
      </c>
      <c r="B239" s="58" t="s">
        <v>291</v>
      </c>
      <c r="C239" s="59"/>
      <c r="D239" s="119"/>
      <c r="E239" s="105"/>
      <c r="F239" s="105"/>
      <c r="G239" s="93"/>
      <c r="H239" s="93"/>
      <c r="I239" s="65"/>
    </row>
    <row r="240" spans="1:9" ht="51" customHeight="1">
      <c r="A240" s="11" t="s">
        <v>307</v>
      </c>
      <c r="B240" s="40" t="s">
        <v>282</v>
      </c>
      <c r="C240" s="11" t="s">
        <v>8</v>
      </c>
      <c r="D240" s="123">
        <v>4</v>
      </c>
      <c r="E240" s="104">
        <v>200.81</v>
      </c>
      <c r="F240" s="104">
        <v>62.32</v>
      </c>
      <c r="G240" s="92">
        <f>ROUND(D240*E240,2)</f>
        <v>803.24</v>
      </c>
      <c r="H240" s="92">
        <f>ROUND(D240*F240,2)</f>
        <v>249.28</v>
      </c>
      <c r="I240" s="11" t="s">
        <v>455</v>
      </c>
    </row>
    <row r="241" spans="1:9" ht="28.5" customHeight="1">
      <c r="A241" s="11" t="s">
        <v>415</v>
      </c>
      <c r="B241" s="41" t="s">
        <v>310</v>
      </c>
      <c r="C241" s="114" t="s">
        <v>8</v>
      </c>
      <c r="D241" s="123">
        <v>22.76</v>
      </c>
      <c r="E241" s="104">
        <v>213.34</v>
      </c>
      <c r="F241" s="104">
        <v>19.1</v>
      </c>
      <c r="G241" s="92">
        <f>ROUND(D241*E241,2)</f>
        <v>4855.62</v>
      </c>
      <c r="H241" s="92">
        <f>ROUND(D241*F241,2)</f>
        <v>434.72</v>
      </c>
      <c r="I241" s="8" t="s">
        <v>456</v>
      </c>
    </row>
    <row r="242" spans="1:9" ht="25.5" customHeight="1" thickBot="1">
      <c r="A242" s="11" t="s">
        <v>416</v>
      </c>
      <c r="B242" s="41" t="s">
        <v>309</v>
      </c>
      <c r="C242" s="18" t="s">
        <v>8</v>
      </c>
      <c r="D242" s="123">
        <f>1.8*0.4+1.4*0.6+4.25*0.6+2.15*0.6+4.5*0.6+6.5*0.6+(0.5*(2.1+2.1+3.15))*6</f>
        <v>34.05</v>
      </c>
      <c r="E242" s="104">
        <v>242.34</v>
      </c>
      <c r="F242" s="104">
        <v>35</v>
      </c>
      <c r="G242" s="92">
        <f>ROUND(D242*E242,2)</f>
        <v>8251.68</v>
      </c>
      <c r="H242" s="92">
        <f>ROUND(D242*F242,2)</f>
        <v>1191.75</v>
      </c>
      <c r="I242" s="8" t="s">
        <v>457</v>
      </c>
    </row>
    <row r="243" spans="1:9" ht="25.5" customHeight="1" thickBot="1">
      <c r="A243" s="17"/>
      <c r="B243" s="325" t="s">
        <v>615</v>
      </c>
      <c r="C243" s="326"/>
      <c r="D243" s="326"/>
      <c r="E243" s="326"/>
      <c r="F243" s="327"/>
      <c r="G243" s="97">
        <f>SUM(G240:G242)</f>
        <v>13910.54</v>
      </c>
      <c r="H243" s="97">
        <f>SUM(H240:H242)</f>
        <v>1875.75</v>
      </c>
      <c r="I243" s="70"/>
    </row>
    <row r="244" spans="1:9" ht="25.5" customHeight="1" thickBot="1">
      <c r="A244" s="298" t="s">
        <v>616</v>
      </c>
      <c r="B244" s="299"/>
      <c r="C244" s="299"/>
      <c r="D244" s="299"/>
      <c r="E244" s="299"/>
      <c r="F244" s="300"/>
      <c r="G244" s="301">
        <f>G243+H243</f>
        <v>15786.29</v>
      </c>
      <c r="H244" s="302"/>
      <c r="I244" s="65"/>
    </row>
    <row r="245" spans="1:9" ht="25.5" customHeight="1" thickBot="1">
      <c r="A245" s="331" t="s">
        <v>573</v>
      </c>
      <c r="B245" s="332"/>
      <c r="C245" s="332"/>
      <c r="D245" s="332"/>
      <c r="E245" s="332"/>
      <c r="F245" s="333"/>
      <c r="G245" s="98">
        <f>G243+G237+G226+G221+G213+G209+G204+G192+G166+G160+G153+G149+G181+G142</f>
        <v>153788.78</v>
      </c>
      <c r="H245" s="98">
        <f>H243+H237+H226+H221+H213+H209+H204+H192+H166+H160+H153+H149+H181+H173+H142</f>
        <v>117837.56</v>
      </c>
      <c r="I245" s="72"/>
    </row>
    <row r="246" spans="1:9" ht="25.5" customHeight="1" thickBot="1">
      <c r="A246" s="328" t="s">
        <v>574</v>
      </c>
      <c r="B246" s="329"/>
      <c r="C246" s="329"/>
      <c r="D246" s="329"/>
      <c r="E246" s="329"/>
      <c r="F246" s="330"/>
      <c r="G246" s="99">
        <f>G245+H245</f>
        <v>271626.33999999997</v>
      </c>
      <c r="H246" s="99"/>
      <c r="I246" s="73"/>
    </row>
    <row r="247" spans="1:9" ht="25.5" customHeight="1" thickBot="1">
      <c r="A247" s="28" t="s">
        <v>160</v>
      </c>
      <c r="B247" s="318" t="s">
        <v>176</v>
      </c>
      <c r="C247" s="319"/>
      <c r="D247" s="319"/>
      <c r="E247" s="319"/>
      <c r="F247" s="319"/>
      <c r="G247" s="319"/>
      <c r="H247" s="319"/>
      <c r="I247" s="319"/>
    </row>
    <row r="248" spans="1:9" ht="25.5" customHeight="1">
      <c r="A248" s="19" t="s">
        <v>25</v>
      </c>
      <c r="B248" s="43" t="s">
        <v>314</v>
      </c>
      <c r="C248" s="11" t="s">
        <v>315</v>
      </c>
      <c r="D248" s="123">
        <v>58</v>
      </c>
      <c r="E248" s="104">
        <v>50.05</v>
      </c>
      <c r="F248" s="104">
        <v>21.45</v>
      </c>
      <c r="G248" s="92">
        <f aca="true" t="shared" si="14" ref="G248:G293">ROUND(D248*E248,2)</f>
        <v>2902.9</v>
      </c>
      <c r="H248" s="92">
        <f aca="true" t="shared" si="15" ref="H248:H293">ROUND(D248*F248,2)</f>
        <v>1244.1</v>
      </c>
      <c r="I248" s="75" t="s">
        <v>409</v>
      </c>
    </row>
    <row r="249" spans="1:9" ht="25.5" customHeight="1">
      <c r="A249" s="19" t="s">
        <v>7</v>
      </c>
      <c r="B249" s="43" t="s">
        <v>316</v>
      </c>
      <c r="C249" s="11" t="s">
        <v>315</v>
      </c>
      <c r="D249" s="123">
        <v>9</v>
      </c>
      <c r="E249" s="104">
        <v>21.48</v>
      </c>
      <c r="F249" s="104">
        <v>12.7</v>
      </c>
      <c r="G249" s="92">
        <f t="shared" si="14"/>
        <v>193.32</v>
      </c>
      <c r="H249" s="92">
        <f t="shared" si="15"/>
        <v>114.3</v>
      </c>
      <c r="I249" s="75" t="s">
        <v>464</v>
      </c>
    </row>
    <row r="250" spans="1:9" ht="25.5" customHeight="1">
      <c r="A250" s="19" t="s">
        <v>9</v>
      </c>
      <c r="B250" s="43" t="s">
        <v>317</v>
      </c>
      <c r="C250" s="11" t="s">
        <v>315</v>
      </c>
      <c r="D250" s="123">
        <v>17</v>
      </c>
      <c r="E250" s="104">
        <v>3.97</v>
      </c>
      <c r="F250" s="104">
        <v>5.13</v>
      </c>
      <c r="G250" s="92">
        <f t="shared" si="14"/>
        <v>67.49</v>
      </c>
      <c r="H250" s="92">
        <f t="shared" si="15"/>
        <v>87.21</v>
      </c>
      <c r="I250" s="75" t="s">
        <v>465</v>
      </c>
    </row>
    <row r="251" spans="1:9" ht="25.5" customHeight="1">
      <c r="A251" s="19" t="s">
        <v>10</v>
      </c>
      <c r="B251" s="43" t="s">
        <v>318</v>
      </c>
      <c r="C251" s="11" t="s">
        <v>315</v>
      </c>
      <c r="D251" s="123">
        <v>2</v>
      </c>
      <c r="E251" s="104">
        <v>4.65</v>
      </c>
      <c r="F251" s="104">
        <v>9.05</v>
      </c>
      <c r="G251" s="92">
        <f t="shared" si="14"/>
        <v>9.3</v>
      </c>
      <c r="H251" s="92">
        <f t="shared" si="15"/>
        <v>18.1</v>
      </c>
      <c r="I251" s="75" t="s">
        <v>466</v>
      </c>
    </row>
    <row r="252" spans="1:9" ht="25.5" customHeight="1">
      <c r="A252" s="19" t="s">
        <v>12</v>
      </c>
      <c r="B252" s="43" t="s">
        <v>319</v>
      </c>
      <c r="C252" s="11" t="s">
        <v>315</v>
      </c>
      <c r="D252" s="123">
        <v>2</v>
      </c>
      <c r="E252" s="104">
        <v>7.45</v>
      </c>
      <c r="F252" s="104">
        <v>7.09</v>
      </c>
      <c r="G252" s="92">
        <f t="shared" si="14"/>
        <v>14.9</v>
      </c>
      <c r="H252" s="92">
        <f t="shared" si="15"/>
        <v>14.18</v>
      </c>
      <c r="I252" s="75" t="s">
        <v>467</v>
      </c>
    </row>
    <row r="253" spans="1:9" ht="25.5" customHeight="1">
      <c r="A253" s="19" t="s">
        <v>15</v>
      </c>
      <c r="B253" s="43" t="s">
        <v>320</v>
      </c>
      <c r="C253" s="11" t="s">
        <v>315</v>
      </c>
      <c r="D253" s="123">
        <v>1</v>
      </c>
      <c r="E253" s="104">
        <v>13</v>
      </c>
      <c r="F253" s="104">
        <v>12.96</v>
      </c>
      <c r="G253" s="92">
        <f t="shared" si="14"/>
        <v>13</v>
      </c>
      <c r="H253" s="92">
        <f t="shared" si="15"/>
        <v>12.96</v>
      </c>
      <c r="I253" s="75" t="s">
        <v>468</v>
      </c>
    </row>
    <row r="254" spans="1:9" ht="25.5" customHeight="1">
      <c r="A254" s="19" t="s">
        <v>172</v>
      </c>
      <c r="B254" s="43" t="s">
        <v>321</v>
      </c>
      <c r="C254" s="11" t="s">
        <v>315</v>
      </c>
      <c r="D254" s="123">
        <v>37</v>
      </c>
      <c r="E254" s="104">
        <v>11.1</v>
      </c>
      <c r="F254" s="104">
        <v>7.82</v>
      </c>
      <c r="G254" s="92">
        <f t="shared" si="14"/>
        <v>410.7</v>
      </c>
      <c r="H254" s="92">
        <f t="shared" si="15"/>
        <v>289.34</v>
      </c>
      <c r="I254" s="75" t="s">
        <v>469</v>
      </c>
    </row>
    <row r="255" spans="1:9" ht="25.5" customHeight="1">
      <c r="A255" s="19" t="s">
        <v>174</v>
      </c>
      <c r="B255" s="43" t="s">
        <v>322</v>
      </c>
      <c r="C255" s="11" t="s">
        <v>315</v>
      </c>
      <c r="D255" s="123">
        <v>2</v>
      </c>
      <c r="E255" s="104">
        <v>11.1</v>
      </c>
      <c r="F255" s="104">
        <v>7.82</v>
      </c>
      <c r="G255" s="92">
        <f t="shared" si="14"/>
        <v>22.2</v>
      </c>
      <c r="H255" s="92">
        <f t="shared" si="15"/>
        <v>15.64</v>
      </c>
      <c r="I255" s="75" t="s">
        <v>469</v>
      </c>
    </row>
    <row r="256" spans="1:9" ht="25.5" customHeight="1">
      <c r="A256" s="19" t="s">
        <v>175</v>
      </c>
      <c r="B256" s="43" t="s">
        <v>323</v>
      </c>
      <c r="C256" s="11" t="s">
        <v>315</v>
      </c>
      <c r="D256" s="123">
        <v>65</v>
      </c>
      <c r="E256" s="104">
        <v>0.89</v>
      </c>
      <c r="F256" s="104">
        <v>3.67</v>
      </c>
      <c r="G256" s="92">
        <f t="shared" si="14"/>
        <v>57.85</v>
      </c>
      <c r="H256" s="92">
        <f t="shared" si="15"/>
        <v>238.55</v>
      </c>
      <c r="I256" s="75" t="s">
        <v>607</v>
      </c>
    </row>
    <row r="257" spans="1:9" ht="25.5" customHeight="1">
      <c r="A257" s="19" t="s">
        <v>177</v>
      </c>
      <c r="B257" s="43" t="s">
        <v>324</v>
      </c>
      <c r="C257" s="11" t="s">
        <v>315</v>
      </c>
      <c r="D257" s="123">
        <v>1</v>
      </c>
      <c r="E257" s="104">
        <v>1.714</v>
      </c>
      <c r="F257" s="104">
        <v>3.67</v>
      </c>
      <c r="G257" s="92">
        <f t="shared" si="14"/>
        <v>1.71</v>
      </c>
      <c r="H257" s="92">
        <f t="shared" si="15"/>
        <v>3.67</v>
      </c>
      <c r="I257" s="75" t="s">
        <v>470</v>
      </c>
    </row>
    <row r="258" spans="1:9" ht="25.5" customHeight="1">
      <c r="A258" s="19" t="s">
        <v>178</v>
      </c>
      <c r="B258" s="43" t="s">
        <v>325</v>
      </c>
      <c r="C258" s="11" t="s">
        <v>315</v>
      </c>
      <c r="D258" s="123">
        <v>4</v>
      </c>
      <c r="E258" s="104">
        <v>6.87</v>
      </c>
      <c r="F258" s="104">
        <v>9.05</v>
      </c>
      <c r="G258" s="92">
        <f t="shared" si="14"/>
        <v>27.48</v>
      </c>
      <c r="H258" s="92">
        <f t="shared" si="15"/>
        <v>36.2</v>
      </c>
      <c r="I258" s="75" t="s">
        <v>471</v>
      </c>
    </row>
    <row r="259" spans="1:9" ht="25.5" customHeight="1">
      <c r="A259" s="19" t="s">
        <v>179</v>
      </c>
      <c r="B259" s="43" t="s">
        <v>326</v>
      </c>
      <c r="C259" s="11" t="s">
        <v>315</v>
      </c>
      <c r="D259" s="123">
        <v>1</v>
      </c>
      <c r="E259" s="104">
        <v>263.59</v>
      </c>
      <c r="F259" s="104">
        <v>61.1</v>
      </c>
      <c r="G259" s="92">
        <f t="shared" si="14"/>
        <v>263.59</v>
      </c>
      <c r="H259" s="92">
        <f t="shared" si="15"/>
        <v>61.1</v>
      </c>
      <c r="I259" s="75" t="s">
        <v>472</v>
      </c>
    </row>
    <row r="260" spans="1:9" ht="25.5" customHeight="1">
      <c r="A260" s="19" t="s">
        <v>180</v>
      </c>
      <c r="B260" s="43" t="s">
        <v>327</v>
      </c>
      <c r="C260" s="11" t="s">
        <v>315</v>
      </c>
      <c r="D260" s="123">
        <v>40</v>
      </c>
      <c r="E260" s="104">
        <v>0.14</v>
      </c>
      <c r="F260" s="104">
        <v>7.33</v>
      </c>
      <c r="G260" s="92">
        <f t="shared" si="14"/>
        <v>5.6</v>
      </c>
      <c r="H260" s="92">
        <f t="shared" si="15"/>
        <v>293.2</v>
      </c>
      <c r="I260" s="75" t="s">
        <v>473</v>
      </c>
    </row>
    <row r="261" spans="1:9" ht="25.5" customHeight="1">
      <c r="A261" s="19" t="s">
        <v>181</v>
      </c>
      <c r="B261" s="43" t="s">
        <v>328</v>
      </c>
      <c r="C261" s="11" t="s">
        <v>315</v>
      </c>
      <c r="D261" s="123">
        <v>6</v>
      </c>
      <c r="E261" s="104">
        <v>0.32</v>
      </c>
      <c r="F261" s="104">
        <v>7.33</v>
      </c>
      <c r="G261" s="92">
        <f t="shared" si="14"/>
        <v>1.92</v>
      </c>
      <c r="H261" s="92">
        <f t="shared" si="15"/>
        <v>43.98</v>
      </c>
      <c r="I261" s="75" t="s">
        <v>474</v>
      </c>
    </row>
    <row r="262" spans="1:9" ht="25.5" customHeight="1">
      <c r="A262" s="19" t="s">
        <v>182</v>
      </c>
      <c r="B262" s="43" t="s">
        <v>329</v>
      </c>
      <c r="C262" s="11" t="s">
        <v>315</v>
      </c>
      <c r="D262" s="123">
        <v>10</v>
      </c>
      <c r="E262" s="104">
        <v>1.25</v>
      </c>
      <c r="F262" s="104">
        <v>8.55</v>
      </c>
      <c r="G262" s="92">
        <f t="shared" si="14"/>
        <v>12.5</v>
      </c>
      <c r="H262" s="92">
        <f t="shared" si="15"/>
        <v>85.5</v>
      </c>
      <c r="I262" s="75" t="s">
        <v>475</v>
      </c>
    </row>
    <row r="263" spans="1:9" ht="25.5" customHeight="1">
      <c r="A263" s="19" t="s">
        <v>183</v>
      </c>
      <c r="B263" s="43" t="s">
        <v>330</v>
      </c>
      <c r="C263" s="11" t="s">
        <v>315</v>
      </c>
      <c r="D263" s="123">
        <v>8</v>
      </c>
      <c r="E263" s="104">
        <v>1.45</v>
      </c>
      <c r="F263" s="104">
        <v>8.55</v>
      </c>
      <c r="G263" s="92">
        <f t="shared" si="14"/>
        <v>11.6</v>
      </c>
      <c r="H263" s="92">
        <f t="shared" si="15"/>
        <v>68.4</v>
      </c>
      <c r="I263" s="75" t="s">
        <v>476</v>
      </c>
    </row>
    <row r="264" spans="1:9" ht="25.5" customHeight="1">
      <c r="A264" s="19" t="s">
        <v>184</v>
      </c>
      <c r="B264" s="43" t="s">
        <v>331</v>
      </c>
      <c r="C264" s="11" t="s">
        <v>315</v>
      </c>
      <c r="D264" s="123">
        <v>1</v>
      </c>
      <c r="E264" s="104">
        <v>69</v>
      </c>
      <c r="F264" s="104">
        <v>21.99</v>
      </c>
      <c r="G264" s="92">
        <f t="shared" si="14"/>
        <v>69</v>
      </c>
      <c r="H264" s="92">
        <f t="shared" si="15"/>
        <v>21.99</v>
      </c>
      <c r="I264" s="75" t="s">
        <v>477</v>
      </c>
    </row>
    <row r="265" spans="1:9" ht="25.5" customHeight="1">
      <c r="A265" s="19" t="s">
        <v>185</v>
      </c>
      <c r="B265" s="43" t="s">
        <v>332</v>
      </c>
      <c r="C265" s="11" t="s">
        <v>315</v>
      </c>
      <c r="D265" s="123">
        <v>4</v>
      </c>
      <c r="E265" s="104">
        <v>8.56</v>
      </c>
      <c r="F265" s="104">
        <v>7.33</v>
      </c>
      <c r="G265" s="92">
        <f t="shared" si="14"/>
        <v>34.24</v>
      </c>
      <c r="H265" s="92">
        <f t="shared" si="15"/>
        <v>29.32</v>
      </c>
      <c r="I265" s="75" t="s">
        <v>478</v>
      </c>
    </row>
    <row r="266" spans="1:9" ht="28.5" customHeight="1">
      <c r="A266" s="19" t="s">
        <v>186</v>
      </c>
      <c r="B266" s="43" t="s">
        <v>333</v>
      </c>
      <c r="C266" s="11" t="s">
        <v>315</v>
      </c>
      <c r="D266" s="123">
        <v>2</v>
      </c>
      <c r="E266" s="104">
        <v>8.56</v>
      </c>
      <c r="F266" s="104">
        <v>7.33</v>
      </c>
      <c r="G266" s="92">
        <f t="shared" si="14"/>
        <v>17.12</v>
      </c>
      <c r="H266" s="92">
        <f t="shared" si="15"/>
        <v>14.66</v>
      </c>
      <c r="I266" s="75" t="s">
        <v>478</v>
      </c>
    </row>
    <row r="267" spans="1:9" ht="33.75" customHeight="1">
      <c r="A267" s="19" t="s">
        <v>187</v>
      </c>
      <c r="B267" s="43" t="s">
        <v>334</v>
      </c>
      <c r="C267" s="11" t="s">
        <v>315</v>
      </c>
      <c r="D267" s="123">
        <v>3</v>
      </c>
      <c r="E267" s="104">
        <v>100.39</v>
      </c>
      <c r="F267" s="104">
        <v>48.88</v>
      </c>
      <c r="G267" s="92">
        <f t="shared" si="14"/>
        <v>301.17</v>
      </c>
      <c r="H267" s="92">
        <f t="shared" si="15"/>
        <v>146.64</v>
      </c>
      <c r="I267" s="75" t="s">
        <v>608</v>
      </c>
    </row>
    <row r="268" spans="1:9" ht="30" customHeight="1">
      <c r="A268" s="19" t="s">
        <v>188</v>
      </c>
      <c r="B268" s="43" t="s">
        <v>335</v>
      </c>
      <c r="C268" s="11" t="s">
        <v>315</v>
      </c>
      <c r="D268" s="123">
        <v>4</v>
      </c>
      <c r="E268" s="104">
        <v>5.87</v>
      </c>
      <c r="F268" s="104">
        <v>7.33</v>
      </c>
      <c r="G268" s="92">
        <f t="shared" si="14"/>
        <v>23.48</v>
      </c>
      <c r="H268" s="92">
        <f t="shared" si="15"/>
        <v>29.32</v>
      </c>
      <c r="I268" s="75" t="s">
        <v>479</v>
      </c>
    </row>
    <row r="269" spans="1:9" ht="30" customHeight="1">
      <c r="A269" s="19" t="s">
        <v>189</v>
      </c>
      <c r="B269" s="43" t="s">
        <v>336</v>
      </c>
      <c r="C269" s="11" t="s">
        <v>315</v>
      </c>
      <c r="D269" s="123">
        <v>5</v>
      </c>
      <c r="E269" s="104">
        <v>5.87</v>
      </c>
      <c r="F269" s="104">
        <v>7.33</v>
      </c>
      <c r="G269" s="92">
        <f t="shared" si="14"/>
        <v>29.35</v>
      </c>
      <c r="H269" s="92">
        <f t="shared" si="15"/>
        <v>36.65</v>
      </c>
      <c r="I269" s="75" t="s">
        <v>479</v>
      </c>
    </row>
    <row r="270" spans="1:9" ht="30" customHeight="1">
      <c r="A270" s="19" t="s">
        <v>190</v>
      </c>
      <c r="B270" s="43" t="s">
        <v>337</v>
      </c>
      <c r="C270" s="11" t="s">
        <v>315</v>
      </c>
      <c r="D270" s="123">
        <v>6</v>
      </c>
      <c r="E270" s="104">
        <v>5.87</v>
      </c>
      <c r="F270" s="104">
        <v>7.33</v>
      </c>
      <c r="G270" s="92">
        <f t="shared" si="14"/>
        <v>35.22</v>
      </c>
      <c r="H270" s="92">
        <f t="shared" si="15"/>
        <v>43.98</v>
      </c>
      <c r="I270" s="75" t="s">
        <v>479</v>
      </c>
    </row>
    <row r="271" spans="1:9" ht="24.75" customHeight="1">
      <c r="A271" s="19" t="s">
        <v>191</v>
      </c>
      <c r="B271" s="43" t="s">
        <v>338</v>
      </c>
      <c r="C271" s="11" t="s">
        <v>315</v>
      </c>
      <c r="D271" s="123">
        <v>2</v>
      </c>
      <c r="E271" s="104">
        <v>5.87</v>
      </c>
      <c r="F271" s="104">
        <v>7.33</v>
      </c>
      <c r="G271" s="92">
        <f t="shared" si="14"/>
        <v>11.74</v>
      </c>
      <c r="H271" s="92">
        <f t="shared" si="15"/>
        <v>14.66</v>
      </c>
      <c r="I271" s="75" t="s">
        <v>479</v>
      </c>
    </row>
    <row r="272" spans="1:9" ht="30" customHeight="1">
      <c r="A272" s="19" t="s">
        <v>192</v>
      </c>
      <c r="B272" s="43" t="s">
        <v>339</v>
      </c>
      <c r="C272" s="11" t="s">
        <v>315</v>
      </c>
      <c r="D272" s="123">
        <v>1</v>
      </c>
      <c r="E272" s="104">
        <v>38.69</v>
      </c>
      <c r="F272" s="104">
        <v>12.22</v>
      </c>
      <c r="G272" s="92">
        <f t="shared" si="14"/>
        <v>38.69</v>
      </c>
      <c r="H272" s="92">
        <f t="shared" si="15"/>
        <v>12.22</v>
      </c>
      <c r="I272" s="75" t="s">
        <v>609</v>
      </c>
    </row>
    <row r="273" spans="1:9" ht="25.5" customHeight="1">
      <c r="A273" s="19" t="s">
        <v>193</v>
      </c>
      <c r="B273" s="43" t="s">
        <v>340</v>
      </c>
      <c r="C273" s="11" t="s">
        <v>315</v>
      </c>
      <c r="D273" s="123">
        <v>1</v>
      </c>
      <c r="E273" s="104">
        <v>50.3</v>
      </c>
      <c r="F273" s="104">
        <v>12.22</v>
      </c>
      <c r="G273" s="92">
        <f t="shared" si="14"/>
        <v>50.3</v>
      </c>
      <c r="H273" s="92">
        <f t="shared" si="15"/>
        <v>12.22</v>
      </c>
      <c r="I273" s="78" t="s">
        <v>480</v>
      </c>
    </row>
    <row r="274" spans="1:9" ht="30" customHeight="1">
      <c r="A274" s="19" t="s">
        <v>194</v>
      </c>
      <c r="B274" s="43" t="s">
        <v>341</v>
      </c>
      <c r="C274" s="11" t="s">
        <v>315</v>
      </c>
      <c r="D274" s="123">
        <v>28</v>
      </c>
      <c r="E274" s="104">
        <v>1.9</v>
      </c>
      <c r="F274" s="104">
        <v>3.67</v>
      </c>
      <c r="G274" s="95">
        <f t="shared" si="14"/>
        <v>53.2</v>
      </c>
      <c r="H274" s="95">
        <f t="shared" si="15"/>
        <v>102.76</v>
      </c>
      <c r="I274" s="26" t="s">
        <v>481</v>
      </c>
    </row>
    <row r="275" spans="1:9" ht="25.5" customHeight="1">
      <c r="A275" s="19" t="s">
        <v>195</v>
      </c>
      <c r="B275" s="43" t="s">
        <v>342</v>
      </c>
      <c r="C275" s="11" t="s">
        <v>201</v>
      </c>
      <c r="D275" s="123">
        <v>130</v>
      </c>
      <c r="E275" s="104">
        <v>8.91</v>
      </c>
      <c r="F275" s="104">
        <v>14.67</v>
      </c>
      <c r="G275" s="92">
        <f t="shared" si="14"/>
        <v>1158.3</v>
      </c>
      <c r="H275" s="92">
        <f t="shared" si="15"/>
        <v>1907.1</v>
      </c>
      <c r="I275" s="75" t="s">
        <v>482</v>
      </c>
    </row>
    <row r="276" spans="1:9" ht="26.25" customHeight="1">
      <c r="A276" s="19" t="s">
        <v>196</v>
      </c>
      <c r="B276" s="43" t="s">
        <v>343</v>
      </c>
      <c r="C276" s="11" t="s">
        <v>201</v>
      </c>
      <c r="D276" s="123">
        <v>30</v>
      </c>
      <c r="E276" s="104">
        <v>1.87</v>
      </c>
      <c r="F276" s="104">
        <v>12.45</v>
      </c>
      <c r="G276" s="92">
        <f t="shared" si="14"/>
        <v>56.1</v>
      </c>
      <c r="H276" s="92">
        <f t="shared" si="15"/>
        <v>373.5</v>
      </c>
      <c r="I276" s="75" t="s">
        <v>483</v>
      </c>
    </row>
    <row r="277" spans="1:9" ht="24" customHeight="1">
      <c r="A277" s="19" t="s">
        <v>197</v>
      </c>
      <c r="B277" s="43" t="s">
        <v>344</v>
      </c>
      <c r="C277" s="11" t="s">
        <v>315</v>
      </c>
      <c r="D277" s="123">
        <v>42</v>
      </c>
      <c r="E277" s="104">
        <v>3.59</v>
      </c>
      <c r="F277" s="104">
        <v>4.4</v>
      </c>
      <c r="G277" s="92">
        <f t="shared" si="14"/>
        <v>150.78</v>
      </c>
      <c r="H277" s="92">
        <f t="shared" si="15"/>
        <v>184.8</v>
      </c>
      <c r="I277" s="75" t="s">
        <v>484</v>
      </c>
    </row>
    <row r="278" spans="1:9" ht="25.5" customHeight="1">
      <c r="A278" s="19" t="s">
        <v>198</v>
      </c>
      <c r="B278" s="43" t="s">
        <v>345</v>
      </c>
      <c r="C278" s="11" t="s">
        <v>315</v>
      </c>
      <c r="D278" s="123">
        <v>36</v>
      </c>
      <c r="E278" s="104">
        <v>2.49</v>
      </c>
      <c r="F278" s="104">
        <v>6.84</v>
      </c>
      <c r="G278" s="92">
        <f t="shared" si="14"/>
        <v>89.64</v>
      </c>
      <c r="H278" s="92">
        <f t="shared" si="15"/>
        <v>246.24</v>
      </c>
      <c r="I278" s="75" t="s">
        <v>485</v>
      </c>
    </row>
    <row r="279" spans="1:9" ht="25.5" customHeight="1">
      <c r="A279" s="19" t="s">
        <v>199</v>
      </c>
      <c r="B279" s="43" t="s">
        <v>346</v>
      </c>
      <c r="C279" s="11" t="s">
        <v>315</v>
      </c>
      <c r="D279" s="123">
        <v>15</v>
      </c>
      <c r="E279" s="104">
        <v>2.49</v>
      </c>
      <c r="F279" s="104">
        <v>6.84</v>
      </c>
      <c r="G279" s="92">
        <f t="shared" si="14"/>
        <v>37.35</v>
      </c>
      <c r="H279" s="92">
        <f t="shared" si="15"/>
        <v>102.6</v>
      </c>
      <c r="I279" s="75" t="s">
        <v>485</v>
      </c>
    </row>
    <row r="280" spans="1:9" ht="25.5" customHeight="1">
      <c r="A280" s="19" t="s">
        <v>200</v>
      </c>
      <c r="B280" s="43" t="s">
        <v>347</v>
      </c>
      <c r="C280" s="11" t="s">
        <v>315</v>
      </c>
      <c r="D280" s="123">
        <v>36</v>
      </c>
      <c r="E280" s="104">
        <v>15.12</v>
      </c>
      <c r="F280" s="104">
        <v>27.15</v>
      </c>
      <c r="G280" s="92">
        <f t="shared" si="14"/>
        <v>544.32</v>
      </c>
      <c r="H280" s="92">
        <f t="shared" si="15"/>
        <v>977.4</v>
      </c>
      <c r="I280" s="75" t="s">
        <v>486</v>
      </c>
    </row>
    <row r="281" spans="1:9" ht="25.5" customHeight="1">
      <c r="A281" s="19" t="s">
        <v>202</v>
      </c>
      <c r="B281" s="43" t="s">
        <v>348</v>
      </c>
      <c r="C281" s="11" t="s">
        <v>201</v>
      </c>
      <c r="D281" s="123">
        <v>15</v>
      </c>
      <c r="E281" s="104">
        <v>15.12</v>
      </c>
      <c r="F281" s="104">
        <v>27.15</v>
      </c>
      <c r="G281" s="92">
        <f t="shared" si="14"/>
        <v>226.8</v>
      </c>
      <c r="H281" s="92">
        <f t="shared" si="15"/>
        <v>407.25</v>
      </c>
      <c r="I281" s="75" t="s">
        <v>486</v>
      </c>
    </row>
    <row r="282" spans="1:9" ht="25.5" customHeight="1">
      <c r="A282" s="19" t="s">
        <v>203</v>
      </c>
      <c r="B282" s="43" t="s">
        <v>349</v>
      </c>
      <c r="C282" s="11" t="s">
        <v>315</v>
      </c>
      <c r="D282" s="123">
        <v>6</v>
      </c>
      <c r="E282" s="104">
        <v>2.49</v>
      </c>
      <c r="F282" s="104">
        <v>6.84</v>
      </c>
      <c r="G282" s="92">
        <f t="shared" si="14"/>
        <v>14.94</v>
      </c>
      <c r="H282" s="92">
        <f t="shared" si="15"/>
        <v>41.04</v>
      </c>
      <c r="I282" s="75" t="s">
        <v>487</v>
      </c>
    </row>
    <row r="283" spans="1:9" ht="25.5" customHeight="1">
      <c r="A283" s="19" t="s">
        <v>204</v>
      </c>
      <c r="B283" s="43" t="s">
        <v>350</v>
      </c>
      <c r="C283" s="11" t="s">
        <v>201</v>
      </c>
      <c r="D283" s="123">
        <v>5</v>
      </c>
      <c r="E283" s="104">
        <v>15.12</v>
      </c>
      <c r="F283" s="104">
        <v>27.15</v>
      </c>
      <c r="G283" s="92">
        <f t="shared" si="14"/>
        <v>75.6</v>
      </c>
      <c r="H283" s="92">
        <f t="shared" si="15"/>
        <v>135.75</v>
      </c>
      <c r="I283" s="75" t="s">
        <v>486</v>
      </c>
    </row>
    <row r="284" spans="1:9" ht="25.5" customHeight="1">
      <c r="A284" s="19" t="s">
        <v>205</v>
      </c>
      <c r="B284" s="43" t="s">
        <v>351</v>
      </c>
      <c r="C284" s="11" t="s">
        <v>315</v>
      </c>
      <c r="D284" s="123">
        <v>3</v>
      </c>
      <c r="E284" s="104">
        <v>2.49</v>
      </c>
      <c r="F284" s="104">
        <v>6.84</v>
      </c>
      <c r="G284" s="92">
        <f t="shared" si="14"/>
        <v>7.47</v>
      </c>
      <c r="H284" s="92">
        <f t="shared" si="15"/>
        <v>20.52</v>
      </c>
      <c r="I284" s="75" t="s">
        <v>487</v>
      </c>
    </row>
    <row r="285" spans="1:9" s="141" customFormat="1" ht="25.5" customHeight="1">
      <c r="A285" s="19" t="s">
        <v>206</v>
      </c>
      <c r="B285" s="136" t="s">
        <v>352</v>
      </c>
      <c r="C285" s="142" t="s">
        <v>353</v>
      </c>
      <c r="D285" s="138">
        <v>4500</v>
      </c>
      <c r="E285" s="104">
        <v>1.32</v>
      </c>
      <c r="F285" s="104">
        <v>1.34</v>
      </c>
      <c r="G285" s="139">
        <f t="shared" si="14"/>
        <v>5940</v>
      </c>
      <c r="H285" s="139">
        <f t="shared" si="15"/>
        <v>6030</v>
      </c>
      <c r="I285" s="83" t="s">
        <v>488</v>
      </c>
    </row>
    <row r="286" spans="1:9" ht="25.5" customHeight="1">
      <c r="A286" s="19" t="s">
        <v>207</v>
      </c>
      <c r="B286" s="43" t="s">
        <v>354</v>
      </c>
      <c r="C286" s="11" t="s">
        <v>353</v>
      </c>
      <c r="D286" s="123">
        <v>200</v>
      </c>
      <c r="E286" s="104">
        <v>1.51</v>
      </c>
      <c r="F286" s="104">
        <v>1.47</v>
      </c>
      <c r="G286" s="92">
        <f t="shared" si="14"/>
        <v>302</v>
      </c>
      <c r="H286" s="92">
        <f t="shared" si="15"/>
        <v>294</v>
      </c>
      <c r="I286" s="75" t="s">
        <v>489</v>
      </c>
    </row>
    <row r="287" spans="1:9" ht="25.5" customHeight="1">
      <c r="A287" s="19" t="s">
        <v>208</v>
      </c>
      <c r="B287" s="43" t="s">
        <v>355</v>
      </c>
      <c r="C287" s="11" t="s">
        <v>353</v>
      </c>
      <c r="D287" s="123">
        <v>250</v>
      </c>
      <c r="E287" s="104">
        <v>4.11</v>
      </c>
      <c r="F287" s="104">
        <v>1.71</v>
      </c>
      <c r="G287" s="92">
        <f t="shared" si="14"/>
        <v>1027.5</v>
      </c>
      <c r="H287" s="92">
        <f t="shared" si="15"/>
        <v>427.5</v>
      </c>
      <c r="I287" s="75" t="s">
        <v>490</v>
      </c>
    </row>
    <row r="288" spans="1:9" ht="25.5" customHeight="1">
      <c r="A288" s="19" t="s">
        <v>209</v>
      </c>
      <c r="B288" s="43" t="s">
        <v>356</v>
      </c>
      <c r="C288" s="11" t="s">
        <v>353</v>
      </c>
      <c r="D288" s="123">
        <v>80</v>
      </c>
      <c r="E288" s="104">
        <v>5.96</v>
      </c>
      <c r="F288" s="104">
        <v>1.95</v>
      </c>
      <c r="G288" s="92">
        <f t="shared" si="14"/>
        <v>476.8</v>
      </c>
      <c r="H288" s="92">
        <f t="shared" si="15"/>
        <v>156</v>
      </c>
      <c r="I288" s="75" t="s">
        <v>491</v>
      </c>
    </row>
    <row r="289" spans="1:9" ht="25.5" customHeight="1">
      <c r="A289" s="19" t="s">
        <v>210</v>
      </c>
      <c r="B289" s="43" t="s">
        <v>357</v>
      </c>
      <c r="C289" s="11" t="s">
        <v>353</v>
      </c>
      <c r="D289" s="123">
        <v>10</v>
      </c>
      <c r="E289" s="104">
        <v>4.99</v>
      </c>
      <c r="F289" s="104">
        <v>1.95</v>
      </c>
      <c r="G289" s="92">
        <f t="shared" si="14"/>
        <v>49.9</v>
      </c>
      <c r="H289" s="92">
        <f t="shared" si="15"/>
        <v>19.5</v>
      </c>
      <c r="I289" s="75" t="s">
        <v>492</v>
      </c>
    </row>
    <row r="290" spans="1:9" ht="25.5" customHeight="1">
      <c r="A290" s="19" t="s">
        <v>211</v>
      </c>
      <c r="B290" s="43" t="s">
        <v>358</v>
      </c>
      <c r="C290" s="11" t="s">
        <v>215</v>
      </c>
      <c r="D290" s="123">
        <v>12</v>
      </c>
      <c r="E290" s="104">
        <v>3.15</v>
      </c>
      <c r="F290" s="104">
        <v>9.77</v>
      </c>
      <c r="G290" s="92">
        <f t="shared" si="14"/>
        <v>37.8</v>
      </c>
      <c r="H290" s="92">
        <f t="shared" si="15"/>
        <v>117.24</v>
      </c>
      <c r="I290" s="75" t="s">
        <v>493</v>
      </c>
    </row>
    <row r="291" spans="1:9" ht="25.5" customHeight="1">
      <c r="A291" s="19" t="s">
        <v>212</v>
      </c>
      <c r="B291" s="43" t="s">
        <v>359</v>
      </c>
      <c r="C291" s="11" t="s">
        <v>215</v>
      </c>
      <c r="D291" s="123">
        <v>4</v>
      </c>
      <c r="E291" s="104">
        <v>9.74</v>
      </c>
      <c r="F291" s="104">
        <v>4.89</v>
      </c>
      <c r="G291" s="92">
        <f t="shared" si="14"/>
        <v>38.96</v>
      </c>
      <c r="H291" s="92">
        <f t="shared" si="15"/>
        <v>19.56</v>
      </c>
      <c r="I291" s="75" t="s">
        <v>494</v>
      </c>
    </row>
    <row r="292" spans="1:9" ht="24.75" customHeight="1">
      <c r="A292" s="19" t="s">
        <v>213</v>
      </c>
      <c r="B292" s="43" t="s">
        <v>360</v>
      </c>
      <c r="C292" s="11" t="s">
        <v>361</v>
      </c>
      <c r="D292" s="123">
        <v>2</v>
      </c>
      <c r="E292" s="104">
        <v>16.5</v>
      </c>
      <c r="F292" s="104">
        <v>0</v>
      </c>
      <c r="G292" s="92">
        <f t="shared" si="14"/>
        <v>33</v>
      </c>
      <c r="H292" s="92">
        <f t="shared" si="15"/>
        <v>0</v>
      </c>
      <c r="I292" s="75" t="s">
        <v>495</v>
      </c>
    </row>
    <row r="293" spans="1:9" ht="28.5" customHeight="1" thickBot="1">
      <c r="A293" s="19" t="s">
        <v>214</v>
      </c>
      <c r="B293" s="43" t="s">
        <v>362</v>
      </c>
      <c r="C293" s="11" t="s">
        <v>363</v>
      </c>
      <c r="D293" s="123">
        <v>100</v>
      </c>
      <c r="E293" s="104">
        <v>3.2</v>
      </c>
      <c r="F293" s="104">
        <v>1.65</v>
      </c>
      <c r="G293" s="92">
        <f t="shared" si="14"/>
        <v>320</v>
      </c>
      <c r="H293" s="92">
        <f t="shared" si="15"/>
        <v>165</v>
      </c>
      <c r="I293" s="75" t="s">
        <v>496</v>
      </c>
    </row>
    <row r="294" spans="1:9" ht="25.5" customHeight="1" thickBot="1">
      <c r="A294" s="331" t="s">
        <v>216</v>
      </c>
      <c r="B294" s="332"/>
      <c r="C294" s="332"/>
      <c r="D294" s="332"/>
      <c r="E294" s="332"/>
      <c r="F294" s="333"/>
      <c r="G294" s="98">
        <f>SUM(G248:G293)</f>
        <v>15266.829999999998</v>
      </c>
      <c r="H294" s="98">
        <f>SUM(H248:H293)</f>
        <v>14715.849999999999</v>
      </c>
      <c r="I294" s="72"/>
    </row>
    <row r="295" spans="1:9" ht="25.5" customHeight="1" thickBot="1">
      <c r="A295" s="331" t="s">
        <v>217</v>
      </c>
      <c r="B295" s="332"/>
      <c r="C295" s="332"/>
      <c r="D295" s="332"/>
      <c r="E295" s="332"/>
      <c r="F295" s="333"/>
      <c r="G295" s="98">
        <f>G294+H294</f>
        <v>29982.679999999997</v>
      </c>
      <c r="H295" s="98"/>
      <c r="I295" s="72"/>
    </row>
    <row r="296" spans="1:9" ht="25.5" customHeight="1" thickBot="1">
      <c r="A296" s="28" t="s">
        <v>585</v>
      </c>
      <c r="B296" s="318" t="s">
        <v>218</v>
      </c>
      <c r="C296" s="319"/>
      <c r="D296" s="319"/>
      <c r="E296" s="319"/>
      <c r="F296" s="319"/>
      <c r="G296" s="319"/>
      <c r="H296" s="319"/>
      <c r="I296" s="319"/>
    </row>
    <row r="297" spans="1:9" ht="25.5" customHeight="1">
      <c r="A297" s="19" t="s">
        <v>7</v>
      </c>
      <c r="B297" s="48" t="s">
        <v>219</v>
      </c>
      <c r="C297" s="16" t="s">
        <v>39</v>
      </c>
      <c r="D297" s="123">
        <v>350</v>
      </c>
      <c r="E297" s="104">
        <v>2.22</v>
      </c>
      <c r="F297" s="104">
        <v>2.93</v>
      </c>
      <c r="G297" s="92">
        <f aca="true" t="shared" si="16" ref="G297:G329">ROUND(D297*E297,2)</f>
        <v>777</v>
      </c>
      <c r="H297" s="92">
        <f aca="true" t="shared" si="17" ref="H297:H329">ROUND(D297*F297,2)</f>
        <v>1025.5</v>
      </c>
      <c r="I297" s="75" t="s">
        <v>497</v>
      </c>
    </row>
    <row r="298" spans="1:9" ht="25.5" customHeight="1">
      <c r="A298" s="19" t="s">
        <v>9</v>
      </c>
      <c r="B298" s="48" t="s">
        <v>220</v>
      </c>
      <c r="C298" s="16" t="s">
        <v>39</v>
      </c>
      <c r="D298" s="123">
        <v>150</v>
      </c>
      <c r="E298" s="104">
        <v>8.04</v>
      </c>
      <c r="F298" s="104">
        <v>5.86</v>
      </c>
      <c r="G298" s="92">
        <f t="shared" si="16"/>
        <v>1206</v>
      </c>
      <c r="H298" s="92">
        <f t="shared" si="17"/>
        <v>879</v>
      </c>
      <c r="I298" s="75" t="s">
        <v>498</v>
      </c>
    </row>
    <row r="299" spans="1:9" ht="25.5" customHeight="1">
      <c r="A299" s="19" t="s">
        <v>10</v>
      </c>
      <c r="B299" s="48" t="s">
        <v>392</v>
      </c>
      <c r="C299" s="16" t="s">
        <v>2</v>
      </c>
      <c r="D299" s="123">
        <v>50</v>
      </c>
      <c r="E299" s="104">
        <v>1.7</v>
      </c>
      <c r="F299" s="104">
        <v>4.4</v>
      </c>
      <c r="G299" s="92">
        <f t="shared" si="16"/>
        <v>85</v>
      </c>
      <c r="H299" s="92">
        <f t="shared" si="17"/>
        <v>220</v>
      </c>
      <c r="I299" s="75" t="s">
        <v>499</v>
      </c>
    </row>
    <row r="300" spans="1:9" ht="25.5" customHeight="1">
      <c r="A300" s="19" t="s">
        <v>12</v>
      </c>
      <c r="B300" s="48" t="s">
        <v>393</v>
      </c>
      <c r="C300" s="16" t="s">
        <v>2</v>
      </c>
      <c r="D300" s="123">
        <v>20</v>
      </c>
      <c r="E300" s="104">
        <v>6.65</v>
      </c>
      <c r="F300" s="104">
        <v>6.84</v>
      </c>
      <c r="G300" s="92">
        <f t="shared" si="16"/>
        <v>133</v>
      </c>
      <c r="H300" s="92">
        <f t="shared" si="17"/>
        <v>136.8</v>
      </c>
      <c r="I300" s="75" t="s">
        <v>500</v>
      </c>
    </row>
    <row r="301" spans="1:9" ht="25.5" customHeight="1">
      <c r="A301" s="19" t="s">
        <v>15</v>
      </c>
      <c r="B301" s="48" t="s">
        <v>396</v>
      </c>
      <c r="C301" s="16" t="s">
        <v>2</v>
      </c>
      <c r="D301" s="123">
        <v>2</v>
      </c>
      <c r="E301" s="104">
        <v>19.2</v>
      </c>
      <c r="F301" s="104">
        <v>3.43</v>
      </c>
      <c r="G301" s="92">
        <f t="shared" si="16"/>
        <v>38.4</v>
      </c>
      <c r="H301" s="92">
        <f t="shared" si="17"/>
        <v>6.86</v>
      </c>
      <c r="I301" s="75" t="s">
        <v>501</v>
      </c>
    </row>
    <row r="302" spans="1:9" ht="25.5" customHeight="1">
      <c r="A302" s="19" t="s">
        <v>175</v>
      </c>
      <c r="B302" s="48" t="s">
        <v>221</v>
      </c>
      <c r="C302" s="16" t="s">
        <v>2</v>
      </c>
      <c r="D302" s="123">
        <v>15</v>
      </c>
      <c r="E302" s="104">
        <v>24.94</v>
      </c>
      <c r="F302" s="104">
        <v>13.2</v>
      </c>
      <c r="G302" s="92">
        <f t="shared" si="16"/>
        <v>374.1</v>
      </c>
      <c r="H302" s="92">
        <f t="shared" si="17"/>
        <v>198</v>
      </c>
      <c r="I302" s="75" t="s">
        <v>502</v>
      </c>
    </row>
    <row r="303" spans="1:21" ht="25.5" customHeight="1">
      <c r="A303" s="19" t="s">
        <v>177</v>
      </c>
      <c r="B303" s="48" t="s">
        <v>222</v>
      </c>
      <c r="C303" s="16" t="s">
        <v>2</v>
      </c>
      <c r="D303" s="123">
        <v>5</v>
      </c>
      <c r="E303" s="104">
        <v>84.66</v>
      </c>
      <c r="F303" s="104">
        <v>20.77</v>
      </c>
      <c r="G303" s="92">
        <f t="shared" si="16"/>
        <v>423.3</v>
      </c>
      <c r="H303" s="92">
        <f t="shared" si="17"/>
        <v>103.85</v>
      </c>
      <c r="I303" s="158" t="s">
        <v>503</v>
      </c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</row>
    <row r="304" spans="1:21" ht="25.5" customHeight="1">
      <c r="A304" s="19" t="s">
        <v>178</v>
      </c>
      <c r="B304" s="50" t="s">
        <v>223</v>
      </c>
      <c r="C304" s="18" t="s">
        <v>2</v>
      </c>
      <c r="D304" s="122">
        <v>8</v>
      </c>
      <c r="E304" s="104">
        <v>58.14</v>
      </c>
      <c r="F304" s="104">
        <v>14.91</v>
      </c>
      <c r="G304" s="92">
        <f t="shared" si="16"/>
        <v>465.12</v>
      </c>
      <c r="H304" s="92">
        <f t="shared" si="17"/>
        <v>119.28</v>
      </c>
      <c r="I304" s="158" t="s">
        <v>504</v>
      </c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</row>
    <row r="305" spans="1:21" ht="25.5" customHeight="1">
      <c r="A305" s="19" t="s">
        <v>179</v>
      </c>
      <c r="B305" s="50" t="s">
        <v>397</v>
      </c>
      <c r="C305" s="11" t="s">
        <v>2</v>
      </c>
      <c r="D305" s="118">
        <v>10</v>
      </c>
      <c r="E305" s="104">
        <v>58.14</v>
      </c>
      <c r="F305" s="104">
        <v>14.91</v>
      </c>
      <c r="G305" s="92">
        <f t="shared" si="16"/>
        <v>581.4</v>
      </c>
      <c r="H305" s="92">
        <f t="shared" si="17"/>
        <v>149.1</v>
      </c>
      <c r="I305" s="158" t="s">
        <v>504</v>
      </c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</row>
    <row r="306" spans="1:21" ht="25.5" customHeight="1">
      <c r="A306" s="19" t="s">
        <v>180</v>
      </c>
      <c r="B306" s="48" t="s">
        <v>273</v>
      </c>
      <c r="C306" s="16" t="s">
        <v>2</v>
      </c>
      <c r="D306" s="123">
        <v>18</v>
      </c>
      <c r="E306" s="104">
        <v>116.23</v>
      </c>
      <c r="F306" s="104">
        <v>41.06</v>
      </c>
      <c r="G306" s="92">
        <f t="shared" si="16"/>
        <v>2092.14</v>
      </c>
      <c r="H306" s="92">
        <f t="shared" si="17"/>
        <v>739.08</v>
      </c>
      <c r="I306" s="158" t="s">
        <v>610</v>
      </c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</row>
    <row r="307" spans="1:21" ht="25.5" customHeight="1">
      <c r="A307" s="19" t="s">
        <v>181</v>
      </c>
      <c r="B307" s="81" t="s">
        <v>280</v>
      </c>
      <c r="C307" s="16" t="s">
        <v>2</v>
      </c>
      <c r="D307" s="123">
        <v>12</v>
      </c>
      <c r="E307" s="104">
        <v>145.4</v>
      </c>
      <c r="F307" s="104">
        <v>24.44</v>
      </c>
      <c r="G307" s="92">
        <f t="shared" si="16"/>
        <v>1744.8</v>
      </c>
      <c r="H307" s="92">
        <f t="shared" si="17"/>
        <v>293.28</v>
      </c>
      <c r="I307" s="158" t="s">
        <v>505</v>
      </c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</row>
    <row r="308" spans="1:21" ht="25.5" customHeight="1">
      <c r="A308" s="19" t="s">
        <v>182</v>
      </c>
      <c r="B308" s="49" t="s">
        <v>224</v>
      </c>
      <c r="C308" s="18" t="s">
        <v>2</v>
      </c>
      <c r="D308" s="122">
        <v>6</v>
      </c>
      <c r="E308" s="104">
        <v>145.4</v>
      </c>
      <c r="F308" s="104">
        <v>24.44</v>
      </c>
      <c r="G308" s="92">
        <f t="shared" si="16"/>
        <v>872.4</v>
      </c>
      <c r="H308" s="92">
        <f t="shared" si="17"/>
        <v>146.64</v>
      </c>
      <c r="I308" s="158" t="s">
        <v>505</v>
      </c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</row>
    <row r="309" spans="1:21" ht="25.5" customHeight="1">
      <c r="A309" s="19" t="s">
        <v>183</v>
      </c>
      <c r="B309" s="40" t="s">
        <v>225</v>
      </c>
      <c r="C309" s="11" t="s">
        <v>2</v>
      </c>
      <c r="D309" s="118">
        <v>18</v>
      </c>
      <c r="E309" s="104">
        <v>17.1</v>
      </c>
      <c r="F309" s="104">
        <v>1.53</v>
      </c>
      <c r="G309" s="92">
        <f t="shared" si="16"/>
        <v>307.8</v>
      </c>
      <c r="H309" s="92">
        <f t="shared" si="17"/>
        <v>27.54</v>
      </c>
      <c r="I309" s="158" t="s">
        <v>611</v>
      </c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</row>
    <row r="310" spans="1:21" ht="25.5" customHeight="1">
      <c r="A310" s="19" t="s">
        <v>184</v>
      </c>
      <c r="B310" s="45" t="s">
        <v>226</v>
      </c>
      <c r="C310" s="8" t="s">
        <v>2</v>
      </c>
      <c r="D310" s="124">
        <v>18</v>
      </c>
      <c r="E310" s="104">
        <v>5.4</v>
      </c>
      <c r="F310" s="104">
        <v>7.82</v>
      </c>
      <c r="G310" s="92">
        <f t="shared" si="16"/>
        <v>97.2</v>
      </c>
      <c r="H310" s="92">
        <f t="shared" si="17"/>
        <v>140.76</v>
      </c>
      <c r="I310" s="158" t="s">
        <v>506</v>
      </c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</row>
    <row r="311" spans="1:21" ht="25.5" customHeight="1">
      <c r="A311" s="19" t="s">
        <v>185</v>
      </c>
      <c r="B311" s="41" t="s">
        <v>227</v>
      </c>
      <c r="C311" s="13" t="s">
        <v>2</v>
      </c>
      <c r="D311" s="125">
        <v>18</v>
      </c>
      <c r="E311" s="104">
        <v>13.2</v>
      </c>
      <c r="F311" s="104">
        <v>3.43</v>
      </c>
      <c r="G311" s="92">
        <f t="shared" si="16"/>
        <v>237.6</v>
      </c>
      <c r="H311" s="92">
        <f t="shared" si="17"/>
        <v>61.74</v>
      </c>
      <c r="I311" s="159" t="s">
        <v>612</v>
      </c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</row>
    <row r="312" spans="1:21" ht="25.5" customHeight="1">
      <c r="A312" s="19" t="s">
        <v>186</v>
      </c>
      <c r="B312" s="40" t="s">
        <v>228</v>
      </c>
      <c r="C312" s="11" t="s">
        <v>2</v>
      </c>
      <c r="D312" s="118">
        <v>24</v>
      </c>
      <c r="E312" s="104">
        <v>124.61</v>
      </c>
      <c r="F312" s="104">
        <v>14.67</v>
      </c>
      <c r="G312" s="92">
        <f t="shared" si="16"/>
        <v>2990.64</v>
      </c>
      <c r="H312" s="92">
        <f t="shared" si="17"/>
        <v>352.08</v>
      </c>
      <c r="I312" s="158" t="s">
        <v>507</v>
      </c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</row>
    <row r="313" spans="1:21" ht="25.5" customHeight="1" thickBot="1">
      <c r="A313" s="19" t="s">
        <v>187</v>
      </c>
      <c r="B313" s="47" t="s">
        <v>229</v>
      </c>
      <c r="C313" s="24" t="s">
        <v>2</v>
      </c>
      <c r="D313" s="127">
        <v>2</v>
      </c>
      <c r="E313" s="104">
        <v>269</v>
      </c>
      <c r="F313" s="104">
        <v>33.66</v>
      </c>
      <c r="G313" s="100">
        <f t="shared" si="16"/>
        <v>538</v>
      </c>
      <c r="H313" s="100">
        <f t="shared" si="17"/>
        <v>67.32</v>
      </c>
      <c r="I313" s="167" t="s">
        <v>508</v>
      </c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</row>
    <row r="314" spans="1:21" ht="25.5" customHeight="1">
      <c r="A314" s="19" t="s">
        <v>188</v>
      </c>
      <c r="B314" s="37" t="s">
        <v>230</v>
      </c>
      <c r="C314" s="10" t="s">
        <v>2</v>
      </c>
      <c r="D314" s="121">
        <v>24</v>
      </c>
      <c r="E314" s="104">
        <v>24.5</v>
      </c>
      <c r="F314" s="104">
        <v>3.67</v>
      </c>
      <c r="G314" s="92">
        <f t="shared" si="16"/>
        <v>588</v>
      </c>
      <c r="H314" s="92">
        <f t="shared" si="17"/>
        <v>88.08</v>
      </c>
      <c r="I314" s="158" t="s">
        <v>509</v>
      </c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</row>
    <row r="315" spans="1:21" ht="25.5" customHeight="1">
      <c r="A315" s="19" t="s">
        <v>189</v>
      </c>
      <c r="B315" s="37" t="s">
        <v>231</v>
      </c>
      <c r="C315" s="10" t="s">
        <v>2</v>
      </c>
      <c r="D315" s="121">
        <v>15</v>
      </c>
      <c r="E315" s="104">
        <v>24.5</v>
      </c>
      <c r="F315" s="104">
        <v>3.67</v>
      </c>
      <c r="G315" s="92">
        <f t="shared" si="16"/>
        <v>367.5</v>
      </c>
      <c r="H315" s="92">
        <f t="shared" si="17"/>
        <v>55.05</v>
      </c>
      <c r="I315" s="158" t="s">
        <v>509</v>
      </c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</row>
    <row r="316" spans="1:21" ht="25.5" customHeight="1">
      <c r="A316" s="19" t="s">
        <v>190</v>
      </c>
      <c r="B316" s="37" t="s">
        <v>232</v>
      </c>
      <c r="C316" s="10" t="s">
        <v>2</v>
      </c>
      <c r="D316" s="121">
        <v>12</v>
      </c>
      <c r="E316" s="104">
        <v>24.5</v>
      </c>
      <c r="F316" s="104">
        <v>3.67</v>
      </c>
      <c r="G316" s="92">
        <f t="shared" si="16"/>
        <v>294</v>
      </c>
      <c r="H316" s="92">
        <f t="shared" si="17"/>
        <v>44.04</v>
      </c>
      <c r="I316" s="158" t="s">
        <v>509</v>
      </c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</row>
    <row r="317" spans="1:21" ht="25.5" customHeight="1">
      <c r="A317" s="19" t="s">
        <v>191</v>
      </c>
      <c r="B317" s="39" t="s">
        <v>233</v>
      </c>
      <c r="C317" s="12" t="s">
        <v>2</v>
      </c>
      <c r="D317" s="120">
        <v>57</v>
      </c>
      <c r="E317" s="104">
        <v>8.55</v>
      </c>
      <c r="F317" s="104">
        <v>8.79</v>
      </c>
      <c r="G317" s="92">
        <f t="shared" si="16"/>
        <v>487.35</v>
      </c>
      <c r="H317" s="92">
        <f t="shared" si="17"/>
        <v>501.03</v>
      </c>
      <c r="I317" s="152" t="s">
        <v>510</v>
      </c>
      <c r="J317" s="155"/>
      <c r="K317" s="156"/>
      <c r="L317" s="156"/>
      <c r="M317" s="157"/>
      <c r="N317" s="154"/>
      <c r="O317" s="154"/>
      <c r="P317" s="154"/>
      <c r="Q317" s="154"/>
      <c r="R317" s="154"/>
      <c r="S317" s="154"/>
      <c r="T317" s="154"/>
      <c r="U317" s="154"/>
    </row>
    <row r="318" spans="1:21" ht="25.5" customHeight="1">
      <c r="A318" s="19" t="s">
        <v>192</v>
      </c>
      <c r="B318" s="40" t="s">
        <v>234</v>
      </c>
      <c r="C318" s="11" t="s">
        <v>2</v>
      </c>
      <c r="D318" s="118">
        <v>57</v>
      </c>
      <c r="E318" s="104">
        <v>4</v>
      </c>
      <c r="F318" s="104">
        <v>1.2</v>
      </c>
      <c r="G318" s="92">
        <f t="shared" si="16"/>
        <v>228</v>
      </c>
      <c r="H318" s="92">
        <f t="shared" si="17"/>
        <v>68.4</v>
      </c>
      <c r="I318" s="158" t="s">
        <v>398</v>
      </c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</row>
    <row r="319" spans="1:21" ht="25.5" customHeight="1">
      <c r="A319" s="19" t="s">
        <v>193</v>
      </c>
      <c r="B319" s="40" t="s">
        <v>235</v>
      </c>
      <c r="C319" s="11" t="s">
        <v>2</v>
      </c>
      <c r="D319" s="118">
        <v>12</v>
      </c>
      <c r="E319" s="104">
        <v>65.03</v>
      </c>
      <c r="F319" s="104">
        <v>2.85</v>
      </c>
      <c r="G319" s="92">
        <f t="shared" si="16"/>
        <v>780.36</v>
      </c>
      <c r="H319" s="92">
        <f t="shared" si="17"/>
        <v>34.2</v>
      </c>
      <c r="I319" s="158" t="s">
        <v>511</v>
      </c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</row>
    <row r="320" spans="1:21" ht="25.5" customHeight="1">
      <c r="A320" s="19" t="s">
        <v>194</v>
      </c>
      <c r="B320" s="43" t="s">
        <v>238</v>
      </c>
      <c r="C320" s="16" t="s">
        <v>2</v>
      </c>
      <c r="D320" s="123">
        <v>6</v>
      </c>
      <c r="E320" s="104">
        <v>28.39</v>
      </c>
      <c r="F320" s="104">
        <v>2.85</v>
      </c>
      <c r="G320" s="92">
        <f t="shared" si="16"/>
        <v>170.34</v>
      </c>
      <c r="H320" s="92">
        <f t="shared" si="17"/>
        <v>17.1</v>
      </c>
      <c r="I320" s="158" t="s">
        <v>512</v>
      </c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</row>
    <row r="321" spans="1:21" ht="25.5" customHeight="1">
      <c r="A321" s="19" t="s">
        <v>195</v>
      </c>
      <c r="B321" s="43" t="s">
        <v>236</v>
      </c>
      <c r="C321" s="16" t="s">
        <v>2</v>
      </c>
      <c r="D321" s="123">
        <v>15</v>
      </c>
      <c r="E321" s="104">
        <v>20.03</v>
      </c>
      <c r="F321" s="104">
        <v>2.85</v>
      </c>
      <c r="G321" s="92">
        <f t="shared" si="16"/>
        <v>300.45</v>
      </c>
      <c r="H321" s="92">
        <f t="shared" si="17"/>
        <v>42.75</v>
      </c>
      <c r="I321" s="158" t="s">
        <v>513</v>
      </c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</row>
    <row r="322" spans="1:21" ht="25.5" customHeight="1">
      <c r="A322" s="19" t="s">
        <v>196</v>
      </c>
      <c r="B322" s="43" t="s">
        <v>237</v>
      </c>
      <c r="C322" s="16" t="s">
        <v>2</v>
      </c>
      <c r="D322" s="123">
        <v>24</v>
      </c>
      <c r="E322" s="104">
        <v>78.03</v>
      </c>
      <c r="F322" s="104">
        <v>2.85</v>
      </c>
      <c r="G322" s="92">
        <f t="shared" si="16"/>
        <v>1872.72</v>
      </c>
      <c r="H322" s="92">
        <f t="shared" si="17"/>
        <v>68.4</v>
      </c>
      <c r="I322" s="158" t="s">
        <v>514</v>
      </c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</row>
    <row r="323" spans="1:21" ht="25.5" customHeight="1">
      <c r="A323" s="19" t="s">
        <v>197</v>
      </c>
      <c r="B323" s="43" t="s">
        <v>239</v>
      </c>
      <c r="C323" s="16" t="s">
        <v>2</v>
      </c>
      <c r="D323" s="123">
        <v>2</v>
      </c>
      <c r="E323" s="104">
        <v>17.62</v>
      </c>
      <c r="F323" s="104">
        <v>2.85</v>
      </c>
      <c r="G323" s="92">
        <f t="shared" si="16"/>
        <v>35.24</v>
      </c>
      <c r="H323" s="92">
        <f t="shared" si="17"/>
        <v>5.7</v>
      </c>
      <c r="I323" s="158" t="s">
        <v>515</v>
      </c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</row>
    <row r="324" spans="1:21" ht="25.5" customHeight="1">
      <c r="A324" s="19" t="s">
        <v>198</v>
      </c>
      <c r="B324" s="43" t="s">
        <v>240</v>
      </c>
      <c r="C324" s="16" t="s">
        <v>2</v>
      </c>
      <c r="D324" s="123">
        <v>20</v>
      </c>
      <c r="E324" s="104">
        <v>20.35</v>
      </c>
      <c r="F324" s="104">
        <v>12.22</v>
      </c>
      <c r="G324" s="92">
        <f t="shared" si="16"/>
        <v>407</v>
      </c>
      <c r="H324" s="92">
        <f t="shared" si="17"/>
        <v>244.4</v>
      </c>
      <c r="I324" s="158" t="s">
        <v>516</v>
      </c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</row>
    <row r="325" spans="1:21" ht="25.5" customHeight="1">
      <c r="A325" s="19" t="s">
        <v>199</v>
      </c>
      <c r="B325" s="43" t="s">
        <v>241</v>
      </c>
      <c r="C325" s="16" t="s">
        <v>2</v>
      </c>
      <c r="D325" s="123">
        <v>20</v>
      </c>
      <c r="E325" s="104">
        <v>20.36</v>
      </c>
      <c r="F325" s="104">
        <v>12.22</v>
      </c>
      <c r="G325" s="92">
        <f t="shared" si="16"/>
        <v>407.2</v>
      </c>
      <c r="H325" s="92">
        <f t="shared" si="17"/>
        <v>244.4</v>
      </c>
      <c r="I325" s="158" t="s">
        <v>517</v>
      </c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</row>
    <row r="326" spans="1:9" ht="25.5" customHeight="1">
      <c r="A326" s="19" t="s">
        <v>200</v>
      </c>
      <c r="B326" s="48" t="s">
        <v>242</v>
      </c>
      <c r="C326" s="16" t="s">
        <v>2</v>
      </c>
      <c r="D326" s="123">
        <v>20</v>
      </c>
      <c r="E326" s="104">
        <v>46.9</v>
      </c>
      <c r="F326" s="104">
        <v>8.55</v>
      </c>
      <c r="G326" s="92">
        <f t="shared" si="16"/>
        <v>938</v>
      </c>
      <c r="H326" s="92">
        <f t="shared" si="17"/>
        <v>171</v>
      </c>
      <c r="I326" s="75" t="s">
        <v>518</v>
      </c>
    </row>
    <row r="327" spans="1:9" ht="25.5" customHeight="1">
      <c r="A327" s="19" t="s">
        <v>202</v>
      </c>
      <c r="B327" s="48" t="s">
        <v>243</v>
      </c>
      <c r="C327" s="16" t="s">
        <v>2</v>
      </c>
      <c r="D327" s="123">
        <v>10</v>
      </c>
      <c r="E327" s="104">
        <v>46.93</v>
      </c>
      <c r="F327" s="104">
        <v>7.13</v>
      </c>
      <c r="G327" s="92">
        <f t="shared" si="16"/>
        <v>469.3</v>
      </c>
      <c r="H327" s="92">
        <f t="shared" si="17"/>
        <v>71.3</v>
      </c>
      <c r="I327" s="75" t="s">
        <v>519</v>
      </c>
    </row>
    <row r="328" spans="1:9" ht="25.5" customHeight="1">
      <c r="A328" s="19" t="s">
        <v>203</v>
      </c>
      <c r="B328" s="49" t="s">
        <v>399</v>
      </c>
      <c r="C328" s="18" t="s">
        <v>2</v>
      </c>
      <c r="D328" s="122">
        <v>4</v>
      </c>
      <c r="E328" s="104">
        <v>820</v>
      </c>
      <c r="F328" s="104">
        <v>12.22</v>
      </c>
      <c r="G328" s="92">
        <f t="shared" si="16"/>
        <v>3280</v>
      </c>
      <c r="H328" s="92">
        <f t="shared" si="17"/>
        <v>48.88</v>
      </c>
      <c r="I328" s="75" t="s">
        <v>520</v>
      </c>
    </row>
    <row r="329" spans="1:9" ht="25.5" customHeight="1" thickBot="1">
      <c r="A329" s="19" t="s">
        <v>204</v>
      </c>
      <c r="B329" s="49" t="s">
        <v>394</v>
      </c>
      <c r="C329" s="18" t="s">
        <v>2</v>
      </c>
      <c r="D329" s="122">
        <v>8</v>
      </c>
      <c r="E329" s="104">
        <v>13.57</v>
      </c>
      <c r="F329" s="104">
        <v>77.02</v>
      </c>
      <c r="G329" s="92">
        <f t="shared" si="16"/>
        <v>108.56</v>
      </c>
      <c r="H329" s="92">
        <f t="shared" si="17"/>
        <v>616.16</v>
      </c>
      <c r="I329" s="75" t="s">
        <v>521</v>
      </c>
    </row>
    <row r="330" spans="1:9" ht="25.5" customHeight="1" thickBot="1">
      <c r="A330" s="331" t="s">
        <v>244</v>
      </c>
      <c r="B330" s="332"/>
      <c r="C330" s="332"/>
      <c r="D330" s="332"/>
      <c r="E330" s="332"/>
      <c r="F330" s="333"/>
      <c r="G330" s="98">
        <f>SUM(G297:G329)</f>
        <v>23697.920000000006</v>
      </c>
      <c r="H330" s="98">
        <f>SUM(H297:H329)</f>
        <v>6987.7199999999975</v>
      </c>
      <c r="I330" s="72"/>
    </row>
    <row r="331" spans="1:9" ht="25.5" customHeight="1" thickBot="1">
      <c r="A331" s="331" t="s">
        <v>245</v>
      </c>
      <c r="B331" s="332"/>
      <c r="C331" s="332"/>
      <c r="D331" s="332"/>
      <c r="E331" s="332"/>
      <c r="F331" s="333"/>
      <c r="G331" s="98">
        <f>G330+H330</f>
        <v>30685.640000000003</v>
      </c>
      <c r="H331" s="98"/>
      <c r="I331" s="72"/>
    </row>
    <row r="332" spans="1:16" ht="25.5" customHeight="1" thickBot="1">
      <c r="A332" s="28" t="s">
        <v>586</v>
      </c>
      <c r="B332" s="318" t="s">
        <v>246</v>
      </c>
      <c r="C332" s="319"/>
      <c r="D332" s="319"/>
      <c r="E332" s="319"/>
      <c r="F332" s="319"/>
      <c r="G332" s="319"/>
      <c r="H332" s="319"/>
      <c r="I332" s="319"/>
      <c r="J332" s="151"/>
      <c r="K332" s="151"/>
      <c r="L332" s="151"/>
      <c r="M332" s="151"/>
      <c r="N332" s="151"/>
      <c r="O332" s="151"/>
      <c r="P332" s="151"/>
    </row>
    <row r="333" spans="1:16" ht="25.5" customHeight="1">
      <c r="A333" s="19" t="s">
        <v>25</v>
      </c>
      <c r="B333" s="48" t="s">
        <v>375</v>
      </c>
      <c r="C333" s="16" t="s">
        <v>39</v>
      </c>
      <c r="D333" s="123">
        <v>72</v>
      </c>
      <c r="E333" s="104">
        <v>3.13</v>
      </c>
      <c r="F333" s="104">
        <v>5.86</v>
      </c>
      <c r="G333" s="92">
        <f aca="true" t="shared" si="18" ref="G333:G353">ROUND(D333*E333,2)</f>
        <v>225.36</v>
      </c>
      <c r="H333" s="92">
        <f aca="true" t="shared" si="19" ref="H333:H353">ROUND(D333*F333,2)</f>
        <v>421.92</v>
      </c>
      <c r="I333" s="158" t="s">
        <v>522</v>
      </c>
      <c r="J333" s="151"/>
      <c r="K333" s="151"/>
      <c r="L333" s="151"/>
      <c r="M333" s="151"/>
      <c r="N333" s="151"/>
      <c r="O333" s="151"/>
      <c r="P333" s="151"/>
    </row>
    <row r="334" spans="1:16" ht="25.5" customHeight="1">
      <c r="A334" s="19" t="s">
        <v>7</v>
      </c>
      <c r="B334" s="48" t="s">
        <v>379</v>
      </c>
      <c r="C334" s="16" t="s">
        <v>39</v>
      </c>
      <c r="D334" s="123">
        <v>78</v>
      </c>
      <c r="E334" s="104">
        <v>5.16</v>
      </c>
      <c r="F334" s="104">
        <v>7.33</v>
      </c>
      <c r="G334" s="92">
        <f t="shared" si="18"/>
        <v>402.48</v>
      </c>
      <c r="H334" s="92">
        <f t="shared" si="19"/>
        <v>571.74</v>
      </c>
      <c r="I334" s="158" t="s">
        <v>523</v>
      </c>
      <c r="J334" s="151"/>
      <c r="K334" s="151"/>
      <c r="L334" s="151"/>
      <c r="M334" s="151"/>
      <c r="N334" s="151"/>
      <c r="O334" s="151"/>
      <c r="P334" s="151"/>
    </row>
    <row r="335" spans="1:16" ht="25.5" customHeight="1">
      <c r="A335" s="19" t="s">
        <v>9</v>
      </c>
      <c r="B335" s="48" t="s">
        <v>380</v>
      </c>
      <c r="C335" s="16" t="s">
        <v>39</v>
      </c>
      <c r="D335" s="123">
        <v>276</v>
      </c>
      <c r="E335" s="104">
        <v>7.58</v>
      </c>
      <c r="F335" s="104">
        <v>12.71</v>
      </c>
      <c r="G335" s="92">
        <f t="shared" si="18"/>
        <v>2092.08</v>
      </c>
      <c r="H335" s="92">
        <f t="shared" si="19"/>
        <v>3507.96</v>
      </c>
      <c r="I335" s="158" t="s">
        <v>524</v>
      </c>
      <c r="J335" s="151"/>
      <c r="K335" s="151"/>
      <c r="L335" s="151"/>
      <c r="M335" s="151"/>
      <c r="N335" s="151"/>
      <c r="O335" s="151"/>
      <c r="P335" s="151"/>
    </row>
    <row r="336" spans="1:16" ht="25.5" customHeight="1">
      <c r="A336" s="19" t="s">
        <v>10</v>
      </c>
      <c r="B336" s="48" t="s">
        <v>376</v>
      </c>
      <c r="C336" s="16" t="s">
        <v>2</v>
      </c>
      <c r="D336" s="123">
        <v>2</v>
      </c>
      <c r="E336" s="104">
        <v>5</v>
      </c>
      <c r="F336" s="104">
        <v>21.99</v>
      </c>
      <c r="G336" s="92">
        <f t="shared" si="18"/>
        <v>10</v>
      </c>
      <c r="H336" s="92">
        <f t="shared" si="19"/>
        <v>43.98</v>
      </c>
      <c r="I336" s="158" t="s">
        <v>525</v>
      </c>
      <c r="J336" s="151"/>
      <c r="K336" s="151"/>
      <c r="L336" s="151"/>
      <c r="M336" s="151"/>
      <c r="N336" s="151"/>
      <c r="O336" s="151"/>
      <c r="P336" s="151"/>
    </row>
    <row r="337" spans="1:16" ht="25.5" customHeight="1">
      <c r="A337" s="19" t="s">
        <v>12</v>
      </c>
      <c r="B337" s="48" t="s">
        <v>272</v>
      </c>
      <c r="C337" s="16" t="s">
        <v>2</v>
      </c>
      <c r="D337" s="123">
        <v>26</v>
      </c>
      <c r="E337" s="104">
        <v>17</v>
      </c>
      <c r="F337" s="104">
        <v>19.55</v>
      </c>
      <c r="G337" s="92">
        <f t="shared" si="18"/>
        <v>442</v>
      </c>
      <c r="H337" s="92">
        <f t="shared" si="19"/>
        <v>508.3</v>
      </c>
      <c r="I337" s="158" t="s">
        <v>526</v>
      </c>
      <c r="J337" s="151"/>
      <c r="K337" s="151"/>
      <c r="L337" s="151"/>
      <c r="M337" s="151"/>
      <c r="N337" s="151"/>
      <c r="O337" s="151"/>
      <c r="P337" s="151"/>
    </row>
    <row r="338" spans="1:16" ht="25.5" customHeight="1">
      <c r="A338" s="19" t="s">
        <v>15</v>
      </c>
      <c r="B338" s="48" t="s">
        <v>377</v>
      </c>
      <c r="C338" s="16" t="s">
        <v>2</v>
      </c>
      <c r="D338" s="123">
        <v>16</v>
      </c>
      <c r="E338" s="104">
        <v>5.33</v>
      </c>
      <c r="F338" s="104">
        <v>11</v>
      </c>
      <c r="G338" s="92">
        <f t="shared" si="18"/>
        <v>85.28</v>
      </c>
      <c r="H338" s="92">
        <f t="shared" si="19"/>
        <v>176</v>
      </c>
      <c r="I338" s="158" t="s">
        <v>527</v>
      </c>
      <c r="J338" s="151"/>
      <c r="K338" s="151"/>
      <c r="L338" s="151"/>
      <c r="M338" s="151"/>
      <c r="N338" s="151"/>
      <c r="O338" s="151"/>
      <c r="P338" s="151"/>
    </row>
    <row r="339" spans="1:16" ht="25.5" customHeight="1">
      <c r="A339" s="19" t="s">
        <v>172</v>
      </c>
      <c r="B339" s="48" t="s">
        <v>378</v>
      </c>
      <c r="C339" s="16" t="s">
        <v>2</v>
      </c>
      <c r="D339" s="123">
        <v>23</v>
      </c>
      <c r="E339" s="104">
        <v>5.33</v>
      </c>
      <c r="F339" s="104">
        <v>11</v>
      </c>
      <c r="G339" s="92">
        <f t="shared" si="18"/>
        <v>122.59</v>
      </c>
      <c r="H339" s="92">
        <f t="shared" si="19"/>
        <v>253</v>
      </c>
      <c r="I339" s="158" t="s">
        <v>527</v>
      </c>
      <c r="J339" s="151"/>
      <c r="K339" s="151"/>
      <c r="L339" s="151"/>
      <c r="M339" s="151"/>
      <c r="N339" s="151"/>
      <c r="O339" s="151"/>
      <c r="P339" s="151"/>
    </row>
    <row r="340" spans="1:16" ht="25.5" customHeight="1">
      <c r="A340" s="19" t="s">
        <v>174</v>
      </c>
      <c r="B340" s="48" t="s">
        <v>381</v>
      </c>
      <c r="C340" s="16" t="s">
        <v>2</v>
      </c>
      <c r="D340" s="123">
        <v>16</v>
      </c>
      <c r="E340" s="104">
        <v>2.3</v>
      </c>
      <c r="F340" s="104">
        <v>6.84</v>
      </c>
      <c r="G340" s="92">
        <f t="shared" si="18"/>
        <v>36.8</v>
      </c>
      <c r="H340" s="92">
        <f t="shared" si="19"/>
        <v>109.44</v>
      </c>
      <c r="I340" s="152" t="s">
        <v>528</v>
      </c>
      <c r="J340" s="155"/>
      <c r="K340" s="162"/>
      <c r="L340" s="162"/>
      <c r="M340" s="163"/>
      <c r="N340" s="151"/>
      <c r="O340" s="151"/>
      <c r="P340" s="151"/>
    </row>
    <row r="341" spans="1:16" ht="25.5" customHeight="1">
      <c r="A341" s="19" t="s">
        <v>175</v>
      </c>
      <c r="B341" s="48" t="s">
        <v>382</v>
      </c>
      <c r="C341" s="16" t="s">
        <v>2</v>
      </c>
      <c r="D341" s="123">
        <v>51</v>
      </c>
      <c r="E341" s="104">
        <v>5.33</v>
      </c>
      <c r="F341" s="104">
        <v>11</v>
      </c>
      <c r="G341" s="92">
        <f t="shared" si="18"/>
        <v>271.83</v>
      </c>
      <c r="H341" s="92">
        <f t="shared" si="19"/>
        <v>561</v>
      </c>
      <c r="I341" s="158" t="s">
        <v>527</v>
      </c>
      <c r="J341" s="151"/>
      <c r="K341" s="151"/>
      <c r="L341" s="151"/>
      <c r="M341" s="151"/>
      <c r="N341" s="151"/>
      <c r="O341" s="151"/>
      <c r="P341" s="151"/>
    </row>
    <row r="342" spans="1:16" ht="25.5" customHeight="1">
      <c r="A342" s="19" t="s">
        <v>177</v>
      </c>
      <c r="B342" s="48" t="s">
        <v>383</v>
      </c>
      <c r="C342" s="16" t="s">
        <v>2</v>
      </c>
      <c r="D342" s="123">
        <v>49</v>
      </c>
      <c r="E342" s="104">
        <v>1.5</v>
      </c>
      <c r="F342" s="104">
        <v>6.84</v>
      </c>
      <c r="G342" s="92">
        <f t="shared" si="18"/>
        <v>73.5</v>
      </c>
      <c r="H342" s="92">
        <f t="shared" si="19"/>
        <v>335.16</v>
      </c>
      <c r="I342" s="158" t="s">
        <v>529</v>
      </c>
      <c r="J342" s="151"/>
      <c r="K342" s="151"/>
      <c r="L342" s="151"/>
      <c r="M342" s="151"/>
      <c r="N342" s="151"/>
      <c r="O342" s="151"/>
      <c r="P342" s="151"/>
    </row>
    <row r="343" spans="1:16" ht="25.5" customHeight="1">
      <c r="A343" s="19" t="s">
        <v>178</v>
      </c>
      <c r="B343" s="48" t="s">
        <v>384</v>
      </c>
      <c r="C343" s="16" t="s">
        <v>2</v>
      </c>
      <c r="D343" s="123">
        <v>37</v>
      </c>
      <c r="E343" s="104">
        <v>2.1</v>
      </c>
      <c r="F343" s="104">
        <v>6.84</v>
      </c>
      <c r="G343" s="92">
        <f t="shared" si="18"/>
        <v>77.7</v>
      </c>
      <c r="H343" s="92">
        <f t="shared" si="19"/>
        <v>253.08</v>
      </c>
      <c r="I343" s="158" t="s">
        <v>530</v>
      </c>
      <c r="J343" s="151"/>
      <c r="K343" s="151"/>
      <c r="L343" s="151"/>
      <c r="M343" s="151"/>
      <c r="N343" s="151"/>
      <c r="O343" s="151"/>
      <c r="P343" s="151"/>
    </row>
    <row r="344" spans="1:16" ht="25.5" customHeight="1">
      <c r="A344" s="19" t="s">
        <v>179</v>
      </c>
      <c r="B344" s="48" t="s">
        <v>386</v>
      </c>
      <c r="C344" s="16" t="s">
        <v>2</v>
      </c>
      <c r="D344" s="123">
        <v>21</v>
      </c>
      <c r="E344" s="104">
        <v>13.6</v>
      </c>
      <c r="F344" s="104">
        <v>11.24</v>
      </c>
      <c r="G344" s="92">
        <f t="shared" si="18"/>
        <v>285.6</v>
      </c>
      <c r="H344" s="92">
        <f t="shared" si="19"/>
        <v>236.04</v>
      </c>
      <c r="I344" s="158" t="s">
        <v>531</v>
      </c>
      <c r="J344" s="151"/>
      <c r="K344" s="151"/>
      <c r="L344" s="151"/>
      <c r="M344" s="151"/>
      <c r="N344" s="151"/>
      <c r="O344" s="151"/>
      <c r="P344" s="151"/>
    </row>
    <row r="345" spans="1:16" ht="25.5" customHeight="1">
      <c r="A345" s="19" t="s">
        <v>180</v>
      </c>
      <c r="B345" s="48" t="s">
        <v>387</v>
      </c>
      <c r="C345" s="16" t="s">
        <v>2</v>
      </c>
      <c r="D345" s="123">
        <v>12</v>
      </c>
      <c r="E345" s="104">
        <v>9.9</v>
      </c>
      <c r="F345" s="104">
        <v>11.24</v>
      </c>
      <c r="G345" s="92">
        <f t="shared" si="18"/>
        <v>118.8</v>
      </c>
      <c r="H345" s="92">
        <f t="shared" si="19"/>
        <v>134.88</v>
      </c>
      <c r="I345" s="158" t="s">
        <v>532</v>
      </c>
      <c r="J345" s="151"/>
      <c r="K345" s="151"/>
      <c r="L345" s="151"/>
      <c r="M345" s="151"/>
      <c r="N345" s="151"/>
      <c r="O345" s="151"/>
      <c r="P345" s="151"/>
    </row>
    <row r="346" spans="1:16" ht="25.5" customHeight="1">
      <c r="A346" s="19" t="s">
        <v>181</v>
      </c>
      <c r="B346" s="48" t="s">
        <v>391</v>
      </c>
      <c r="C346" s="16" t="s">
        <v>2</v>
      </c>
      <c r="D346" s="123">
        <v>8</v>
      </c>
      <c r="E346" s="104">
        <v>2.2</v>
      </c>
      <c r="F346" s="104">
        <v>7.09</v>
      </c>
      <c r="G346" s="92">
        <f t="shared" si="18"/>
        <v>17.6</v>
      </c>
      <c r="H346" s="92">
        <f t="shared" si="19"/>
        <v>56.72</v>
      </c>
      <c r="I346" s="158" t="s">
        <v>533</v>
      </c>
      <c r="J346" s="151"/>
      <c r="K346" s="151"/>
      <c r="L346" s="151"/>
      <c r="M346" s="151"/>
      <c r="N346" s="151"/>
      <c r="O346" s="151"/>
      <c r="P346" s="151"/>
    </row>
    <row r="347" spans="1:16" ht="25.5" customHeight="1">
      <c r="A347" s="19" t="s">
        <v>182</v>
      </c>
      <c r="B347" s="48" t="s">
        <v>385</v>
      </c>
      <c r="C347" s="16" t="s">
        <v>2</v>
      </c>
      <c r="D347" s="123">
        <v>2</v>
      </c>
      <c r="E347" s="104">
        <v>4.9</v>
      </c>
      <c r="F347" s="104">
        <v>7.09</v>
      </c>
      <c r="G347" s="92">
        <f t="shared" si="18"/>
        <v>9.8</v>
      </c>
      <c r="H347" s="92">
        <f t="shared" si="19"/>
        <v>14.18</v>
      </c>
      <c r="I347" s="158" t="s">
        <v>534</v>
      </c>
      <c r="J347" s="151"/>
      <c r="K347" s="151"/>
      <c r="L347" s="151"/>
      <c r="M347" s="151"/>
      <c r="N347" s="151"/>
      <c r="O347" s="151"/>
      <c r="P347" s="151"/>
    </row>
    <row r="348" spans="1:16" ht="25.5" customHeight="1">
      <c r="A348" s="19" t="s">
        <v>183</v>
      </c>
      <c r="B348" s="48" t="s">
        <v>388</v>
      </c>
      <c r="C348" s="16" t="s">
        <v>2</v>
      </c>
      <c r="D348" s="123">
        <v>5</v>
      </c>
      <c r="E348" s="104">
        <v>8.9</v>
      </c>
      <c r="F348" s="104">
        <v>11.24</v>
      </c>
      <c r="G348" s="92">
        <f t="shared" si="18"/>
        <v>44.5</v>
      </c>
      <c r="H348" s="92">
        <f t="shared" si="19"/>
        <v>56.2</v>
      </c>
      <c r="I348" s="158" t="s">
        <v>535</v>
      </c>
      <c r="J348" s="151"/>
      <c r="K348" s="151"/>
      <c r="L348" s="151"/>
      <c r="M348" s="151"/>
      <c r="N348" s="151"/>
      <c r="O348" s="151"/>
      <c r="P348" s="151"/>
    </row>
    <row r="349" spans="1:16" ht="25.5" customHeight="1">
      <c r="A349" s="19" t="s">
        <v>184</v>
      </c>
      <c r="B349" s="48" t="s">
        <v>389</v>
      </c>
      <c r="C349" s="16" t="s">
        <v>2</v>
      </c>
      <c r="D349" s="123">
        <v>4</v>
      </c>
      <c r="E349" s="104">
        <v>4.1</v>
      </c>
      <c r="F349" s="104">
        <v>7.09</v>
      </c>
      <c r="G349" s="92">
        <f t="shared" si="18"/>
        <v>16.4</v>
      </c>
      <c r="H349" s="92">
        <f t="shared" si="19"/>
        <v>28.36</v>
      </c>
      <c r="I349" s="158" t="s">
        <v>536</v>
      </c>
      <c r="J349" s="151"/>
      <c r="K349" s="151"/>
      <c r="L349" s="151"/>
      <c r="M349" s="151"/>
      <c r="N349" s="151"/>
      <c r="O349" s="151"/>
      <c r="P349" s="151"/>
    </row>
    <row r="350" spans="1:16" ht="25.5" customHeight="1">
      <c r="A350" s="19" t="s">
        <v>185</v>
      </c>
      <c r="B350" s="48" t="s">
        <v>390</v>
      </c>
      <c r="C350" s="16" t="s">
        <v>2</v>
      </c>
      <c r="D350" s="123">
        <v>10</v>
      </c>
      <c r="E350" s="104">
        <v>4.1</v>
      </c>
      <c r="F350" s="104">
        <v>7.09</v>
      </c>
      <c r="G350" s="92">
        <f t="shared" si="18"/>
        <v>41</v>
      </c>
      <c r="H350" s="92">
        <f t="shared" si="19"/>
        <v>70.9</v>
      </c>
      <c r="I350" s="158" t="s">
        <v>536</v>
      </c>
      <c r="J350" s="151"/>
      <c r="K350" s="151"/>
      <c r="L350" s="151"/>
      <c r="M350" s="151"/>
      <c r="N350" s="151"/>
      <c r="O350" s="151"/>
      <c r="P350" s="151"/>
    </row>
    <row r="351" spans="1:16" ht="25.5" customHeight="1">
      <c r="A351" s="19" t="s">
        <v>186</v>
      </c>
      <c r="B351" s="48" t="s">
        <v>275</v>
      </c>
      <c r="C351" s="16" t="s">
        <v>2</v>
      </c>
      <c r="D351" s="123">
        <v>14</v>
      </c>
      <c r="E351" s="104">
        <v>138.27</v>
      </c>
      <c r="F351" s="104">
        <v>186.88</v>
      </c>
      <c r="G351" s="92">
        <f t="shared" si="18"/>
        <v>1935.78</v>
      </c>
      <c r="H351" s="92">
        <f t="shared" si="19"/>
        <v>2616.32</v>
      </c>
      <c r="I351" s="159" t="s">
        <v>537</v>
      </c>
      <c r="J351" s="151"/>
      <c r="K351" s="151"/>
      <c r="L351" s="151"/>
      <c r="M351" s="151"/>
      <c r="N351" s="151"/>
      <c r="O351" s="151"/>
      <c r="P351" s="151"/>
    </row>
    <row r="352" spans="1:16" ht="25.5" customHeight="1">
      <c r="A352" s="19" t="s">
        <v>187</v>
      </c>
      <c r="B352" s="48" t="s">
        <v>395</v>
      </c>
      <c r="C352" s="16" t="s">
        <v>2</v>
      </c>
      <c r="D352" s="123">
        <v>2</v>
      </c>
      <c r="E352" s="104">
        <v>943.1</v>
      </c>
      <c r="F352" s="104">
        <v>1060.1</v>
      </c>
      <c r="G352" s="92">
        <f t="shared" si="18"/>
        <v>1886.2</v>
      </c>
      <c r="H352" s="92">
        <f t="shared" si="19"/>
        <v>2120.2</v>
      </c>
      <c r="I352" s="160" t="s">
        <v>538</v>
      </c>
      <c r="J352" s="151"/>
      <c r="K352" s="151"/>
      <c r="L352" s="151"/>
      <c r="M352" s="151"/>
      <c r="N352" s="151"/>
      <c r="O352" s="151"/>
      <c r="P352" s="151"/>
    </row>
    <row r="353" spans="1:16" ht="25.5" customHeight="1" thickBot="1">
      <c r="A353" s="19" t="s">
        <v>188</v>
      </c>
      <c r="B353" s="48" t="s">
        <v>247</v>
      </c>
      <c r="C353" s="16" t="s">
        <v>2</v>
      </c>
      <c r="D353" s="123">
        <v>2</v>
      </c>
      <c r="E353" s="104">
        <v>107.14</v>
      </c>
      <c r="F353" s="104">
        <v>111.27</v>
      </c>
      <c r="G353" s="92">
        <f t="shared" si="18"/>
        <v>214.28</v>
      </c>
      <c r="H353" s="92">
        <f t="shared" si="19"/>
        <v>222.54</v>
      </c>
      <c r="I353" s="158" t="s">
        <v>539</v>
      </c>
      <c r="J353" s="151"/>
      <c r="K353" s="151"/>
      <c r="L353" s="151"/>
      <c r="M353" s="151"/>
      <c r="N353" s="151"/>
      <c r="O353" s="151"/>
      <c r="P353" s="151"/>
    </row>
    <row r="354" spans="1:16" ht="25.5" customHeight="1" thickBot="1">
      <c r="A354" s="331" t="s">
        <v>249</v>
      </c>
      <c r="B354" s="332"/>
      <c r="C354" s="332"/>
      <c r="D354" s="332"/>
      <c r="E354" s="332"/>
      <c r="F354" s="333"/>
      <c r="G354" s="98">
        <f>SUM(G333:G353)</f>
        <v>8409.580000000002</v>
      </c>
      <c r="H354" s="98">
        <f>SUM(H333:H353)</f>
        <v>12297.919999999998</v>
      </c>
      <c r="I354" s="161"/>
      <c r="J354" s="151"/>
      <c r="K354" s="151"/>
      <c r="L354" s="151"/>
      <c r="M354" s="151"/>
      <c r="N354" s="151"/>
      <c r="O354" s="151"/>
      <c r="P354" s="151"/>
    </row>
    <row r="355" spans="1:16" ht="25.5" customHeight="1" thickBot="1">
      <c r="A355" s="331" t="s">
        <v>248</v>
      </c>
      <c r="B355" s="332"/>
      <c r="C355" s="332"/>
      <c r="D355" s="332"/>
      <c r="E355" s="332"/>
      <c r="F355" s="333"/>
      <c r="G355" s="98">
        <f>G354+H354</f>
        <v>20707.5</v>
      </c>
      <c r="H355" s="98"/>
      <c r="I355" s="161"/>
      <c r="J355" s="151"/>
      <c r="K355" s="151"/>
      <c r="L355" s="151"/>
      <c r="M355" s="151"/>
      <c r="N355" s="151"/>
      <c r="O355" s="151"/>
      <c r="P355" s="151"/>
    </row>
    <row r="356" spans="1:16" ht="25.5" customHeight="1" thickBot="1">
      <c r="A356" s="28" t="s">
        <v>587</v>
      </c>
      <c r="B356" s="318" t="s">
        <v>250</v>
      </c>
      <c r="C356" s="319"/>
      <c r="D356" s="319"/>
      <c r="E356" s="319"/>
      <c r="F356" s="319"/>
      <c r="G356" s="319"/>
      <c r="H356" s="319"/>
      <c r="I356" s="319"/>
      <c r="J356" s="151"/>
      <c r="K356" s="151"/>
      <c r="L356" s="151"/>
      <c r="M356" s="151"/>
      <c r="N356" s="151"/>
      <c r="O356" s="151"/>
      <c r="P356" s="151"/>
    </row>
    <row r="357" spans="1:16" ht="25.5" customHeight="1">
      <c r="A357" s="19" t="s">
        <v>25</v>
      </c>
      <c r="B357" s="48" t="s">
        <v>274</v>
      </c>
      <c r="C357" s="16" t="s">
        <v>39</v>
      </c>
      <c r="D357" s="123">
        <v>276</v>
      </c>
      <c r="E357" s="104">
        <v>7.58</v>
      </c>
      <c r="F357" s="104">
        <v>12.71</v>
      </c>
      <c r="G357" s="92">
        <f>ROUND(D357*E357,2)</f>
        <v>2092.08</v>
      </c>
      <c r="H357" s="92">
        <f>ROUND(D357*F357,2)</f>
        <v>3507.96</v>
      </c>
      <c r="I357" s="158" t="s">
        <v>524</v>
      </c>
      <c r="J357" s="151"/>
      <c r="K357" s="151"/>
      <c r="L357" s="151"/>
      <c r="M357" s="151"/>
      <c r="N357" s="151"/>
      <c r="O357" s="151"/>
      <c r="P357" s="151"/>
    </row>
    <row r="358" spans="1:16" ht="51" customHeight="1" thickBot="1">
      <c r="A358" s="17" t="s">
        <v>7</v>
      </c>
      <c r="B358" s="49" t="s">
        <v>400</v>
      </c>
      <c r="C358" s="18" t="s">
        <v>2</v>
      </c>
      <c r="D358" s="122">
        <v>4</v>
      </c>
      <c r="E358" s="104">
        <v>105.11</v>
      </c>
      <c r="F358" s="104">
        <v>206.86</v>
      </c>
      <c r="G358" s="92">
        <f>ROUND(D358*E358,2)</f>
        <v>420.44</v>
      </c>
      <c r="H358" s="92">
        <f>ROUND(D358*F358,2)</f>
        <v>827.44</v>
      </c>
      <c r="I358" s="152" t="s">
        <v>540</v>
      </c>
      <c r="J358" s="155"/>
      <c r="K358" s="162"/>
      <c r="L358" s="162"/>
      <c r="M358" s="163"/>
      <c r="N358" s="151"/>
      <c r="O358" s="151"/>
      <c r="P358" s="151"/>
    </row>
    <row r="359" spans="1:16" ht="25.5" customHeight="1" thickBot="1">
      <c r="A359" s="331" t="s">
        <v>251</v>
      </c>
      <c r="B359" s="332"/>
      <c r="C359" s="332"/>
      <c r="D359" s="332"/>
      <c r="E359" s="332"/>
      <c r="F359" s="333"/>
      <c r="G359" s="98">
        <f>SUM(G357:G358)</f>
        <v>2512.52</v>
      </c>
      <c r="H359" s="98">
        <f>SUM(H357:H358)</f>
        <v>4335.4</v>
      </c>
      <c r="I359" s="161"/>
      <c r="J359" s="151"/>
      <c r="K359" s="151"/>
      <c r="L359" s="151"/>
      <c r="M359" s="151"/>
      <c r="N359" s="151"/>
      <c r="O359" s="151"/>
      <c r="P359" s="151"/>
    </row>
    <row r="360" spans="1:16" ht="25.5" customHeight="1" thickBot="1">
      <c r="A360" s="331" t="s">
        <v>252</v>
      </c>
      <c r="B360" s="332"/>
      <c r="C360" s="332"/>
      <c r="D360" s="332"/>
      <c r="E360" s="332"/>
      <c r="F360" s="333"/>
      <c r="G360" s="98">
        <f>G359+H359</f>
        <v>6847.92</v>
      </c>
      <c r="H360" s="98"/>
      <c r="I360" s="161"/>
      <c r="J360" s="151"/>
      <c r="K360" s="151"/>
      <c r="L360" s="151"/>
      <c r="M360" s="151"/>
      <c r="N360" s="151"/>
      <c r="O360" s="151"/>
      <c r="P360" s="151"/>
    </row>
    <row r="361" spans="1:16" ht="25.5" customHeight="1" thickBot="1">
      <c r="A361" s="28" t="s">
        <v>588</v>
      </c>
      <c r="B361" s="318" t="s">
        <v>253</v>
      </c>
      <c r="C361" s="319"/>
      <c r="D361" s="319"/>
      <c r="E361" s="319"/>
      <c r="F361" s="319"/>
      <c r="G361" s="319"/>
      <c r="H361" s="319"/>
      <c r="I361" s="319"/>
      <c r="J361" s="151"/>
      <c r="K361" s="151"/>
      <c r="L361" s="151"/>
      <c r="M361" s="151"/>
      <c r="N361" s="151"/>
      <c r="O361" s="151"/>
      <c r="P361" s="151"/>
    </row>
    <row r="362" spans="1:16" ht="25.5" customHeight="1">
      <c r="A362" s="15" t="s">
        <v>7</v>
      </c>
      <c r="B362" s="39" t="s">
        <v>256</v>
      </c>
      <c r="C362" s="12" t="s">
        <v>8</v>
      </c>
      <c r="D362" s="205">
        <v>507.78</v>
      </c>
      <c r="E362" s="104">
        <v>2.52</v>
      </c>
      <c r="F362" s="104">
        <v>5.12</v>
      </c>
      <c r="G362" s="92">
        <f>ROUND(D362*E362,2)</f>
        <v>1279.61</v>
      </c>
      <c r="H362" s="92">
        <f>ROUND(D362*F362,2)</f>
        <v>2599.83</v>
      </c>
      <c r="I362" s="147" t="s">
        <v>541</v>
      </c>
      <c r="J362" s="151"/>
      <c r="K362" s="151"/>
      <c r="L362" s="151"/>
      <c r="M362" s="151"/>
      <c r="N362" s="151"/>
      <c r="O362" s="151"/>
      <c r="P362" s="151"/>
    </row>
    <row r="363" spans="1:9" ht="25.5" customHeight="1">
      <c r="A363" s="15" t="s">
        <v>9</v>
      </c>
      <c r="B363" s="40" t="s">
        <v>257</v>
      </c>
      <c r="C363" s="11" t="s">
        <v>8</v>
      </c>
      <c r="D363" s="207">
        <v>276.15000000000003</v>
      </c>
      <c r="E363" s="104">
        <v>2.52</v>
      </c>
      <c r="F363" s="104">
        <v>5.12</v>
      </c>
      <c r="G363" s="92">
        <f>ROUND(D363*E363,2)</f>
        <v>695.9</v>
      </c>
      <c r="H363" s="92">
        <f>ROUND(D363*F363,2)</f>
        <v>1413.89</v>
      </c>
      <c r="I363" s="77" t="s">
        <v>541</v>
      </c>
    </row>
    <row r="364" spans="1:9" ht="25.5" customHeight="1">
      <c r="A364" s="15" t="s">
        <v>10</v>
      </c>
      <c r="B364" s="48" t="s">
        <v>254</v>
      </c>
      <c r="C364" s="16" t="s">
        <v>8</v>
      </c>
      <c r="D364" s="206">
        <v>27.035</v>
      </c>
      <c r="E364" s="104">
        <v>2.16</v>
      </c>
      <c r="F364" s="104">
        <v>9.66</v>
      </c>
      <c r="G364" s="92">
        <f>ROUND(D364*E364,2)</f>
        <v>58.4</v>
      </c>
      <c r="H364" s="92">
        <f>ROUND(D364*F364,2)</f>
        <v>261.16</v>
      </c>
      <c r="I364" s="77" t="s">
        <v>460</v>
      </c>
    </row>
    <row r="365" spans="1:9" ht="25.5" customHeight="1">
      <c r="A365" s="15" t="s">
        <v>12</v>
      </c>
      <c r="B365" s="48" t="s">
        <v>255</v>
      </c>
      <c r="C365" s="16" t="s">
        <v>8</v>
      </c>
      <c r="D365" s="206">
        <v>21.840000000000003</v>
      </c>
      <c r="E365" s="104">
        <v>2.16</v>
      </c>
      <c r="F365" s="104">
        <v>9.66</v>
      </c>
      <c r="G365" s="92">
        <f>ROUND(D365*E365,2)</f>
        <v>47.17</v>
      </c>
      <c r="H365" s="92">
        <f>ROUND(D365*F365,2)</f>
        <v>210.97</v>
      </c>
      <c r="I365" s="77" t="s">
        <v>460</v>
      </c>
    </row>
    <row r="366" spans="1:9" ht="25.5" customHeight="1" thickBot="1">
      <c r="A366" s="15" t="s">
        <v>15</v>
      </c>
      <c r="B366" s="48" t="s">
        <v>258</v>
      </c>
      <c r="C366" s="16" t="s">
        <v>8</v>
      </c>
      <c r="D366" s="206">
        <v>6.300000000000001</v>
      </c>
      <c r="E366" s="104">
        <v>2.16</v>
      </c>
      <c r="F366" s="104">
        <v>9.66</v>
      </c>
      <c r="G366" s="92">
        <f>ROUND(D366*E366,2)</f>
        <v>13.61</v>
      </c>
      <c r="H366" s="92">
        <f>ROUND(D366*F366,2)</f>
        <v>60.86</v>
      </c>
      <c r="I366" s="77" t="s">
        <v>460</v>
      </c>
    </row>
    <row r="367" spans="1:9" ht="25.5" customHeight="1" thickBot="1">
      <c r="A367" s="331" t="s">
        <v>259</v>
      </c>
      <c r="B367" s="332"/>
      <c r="C367" s="332"/>
      <c r="D367" s="332"/>
      <c r="E367" s="332"/>
      <c r="F367" s="333"/>
      <c r="G367" s="98">
        <f>SUM(G362:G366)</f>
        <v>2094.69</v>
      </c>
      <c r="H367" s="98">
        <f>SUM(H362:H366)</f>
        <v>4546.71</v>
      </c>
      <c r="I367" s="72"/>
    </row>
    <row r="368" spans="1:9" ht="25.5" customHeight="1" thickBot="1">
      <c r="A368" s="331" t="s">
        <v>260</v>
      </c>
      <c r="B368" s="332"/>
      <c r="C368" s="332"/>
      <c r="D368" s="332"/>
      <c r="E368" s="332"/>
      <c r="F368" s="333"/>
      <c r="G368" s="334">
        <f>G367+H367</f>
        <v>6641.4</v>
      </c>
      <c r="H368" s="335"/>
      <c r="I368" s="72"/>
    </row>
    <row r="369" spans="1:9" ht="25.5" customHeight="1" thickBot="1">
      <c r="A369" s="28" t="s">
        <v>171</v>
      </c>
      <c r="B369" s="318" t="s">
        <v>261</v>
      </c>
      <c r="C369" s="319"/>
      <c r="D369" s="319"/>
      <c r="E369" s="319"/>
      <c r="F369" s="319"/>
      <c r="G369" s="319"/>
      <c r="H369" s="319"/>
      <c r="I369" s="319"/>
    </row>
    <row r="370" spans="1:9" ht="25.5" customHeight="1" thickBot="1">
      <c r="A370" s="17" t="s">
        <v>25</v>
      </c>
      <c r="B370" s="49" t="s">
        <v>262</v>
      </c>
      <c r="C370" s="18" t="s">
        <v>2</v>
      </c>
      <c r="D370" s="122">
        <v>25</v>
      </c>
      <c r="E370" s="104">
        <v>84.99</v>
      </c>
      <c r="F370" s="104">
        <v>19.86</v>
      </c>
      <c r="G370" s="92">
        <f>ROUND(D370*E370,2)</f>
        <v>2124.75</v>
      </c>
      <c r="H370" s="92">
        <f>ROUND(D370*F370,2)</f>
        <v>496.5</v>
      </c>
      <c r="I370" s="13" t="s">
        <v>542</v>
      </c>
    </row>
    <row r="371" spans="1:9" ht="25.5" customHeight="1" thickBot="1">
      <c r="A371" s="331" t="s">
        <v>263</v>
      </c>
      <c r="B371" s="332"/>
      <c r="C371" s="332"/>
      <c r="D371" s="332"/>
      <c r="E371" s="332"/>
      <c r="F371" s="333"/>
      <c r="G371" s="98">
        <f>SUM(G370:G370)</f>
        <v>2124.75</v>
      </c>
      <c r="H371" s="98">
        <f>SUM(H370:H370)</f>
        <v>496.5</v>
      </c>
      <c r="I371" s="72"/>
    </row>
    <row r="372" spans="1:9" ht="25.5" customHeight="1" thickBot="1">
      <c r="A372" s="331" t="s">
        <v>264</v>
      </c>
      <c r="B372" s="332"/>
      <c r="C372" s="332"/>
      <c r="D372" s="332"/>
      <c r="E372" s="332"/>
      <c r="F372" s="333"/>
      <c r="G372" s="334">
        <f>G371+H371</f>
        <v>2621.25</v>
      </c>
      <c r="H372" s="335"/>
      <c r="I372" s="72"/>
    </row>
    <row r="373" spans="1:9" ht="25.5" customHeight="1" thickBot="1">
      <c r="A373" s="28" t="s">
        <v>589</v>
      </c>
      <c r="B373" s="318" t="s">
        <v>265</v>
      </c>
      <c r="C373" s="319"/>
      <c r="D373" s="319"/>
      <c r="E373" s="319"/>
      <c r="F373" s="319"/>
      <c r="G373" s="319"/>
      <c r="H373" s="319"/>
      <c r="I373" s="319"/>
    </row>
    <row r="374" spans="1:9" ht="51" customHeight="1" thickBot="1">
      <c r="A374" s="17" t="s">
        <v>25</v>
      </c>
      <c r="B374" s="49" t="s">
        <v>277</v>
      </c>
      <c r="C374" s="82" t="s">
        <v>8</v>
      </c>
      <c r="D374" s="122">
        <v>2030</v>
      </c>
      <c r="E374" s="104">
        <v>0.4</v>
      </c>
      <c r="F374" s="104">
        <v>1.02</v>
      </c>
      <c r="G374" s="92">
        <f>ROUND(D374*E374,2)</f>
        <v>812</v>
      </c>
      <c r="H374" s="92">
        <f>ROUND(D374*F374,2)</f>
        <v>2070.6</v>
      </c>
      <c r="I374" s="75" t="s">
        <v>543</v>
      </c>
    </row>
    <row r="375" spans="1:9" ht="25.5" customHeight="1" thickBot="1">
      <c r="A375" s="331" t="s">
        <v>266</v>
      </c>
      <c r="B375" s="332"/>
      <c r="C375" s="332"/>
      <c r="D375" s="332"/>
      <c r="E375" s="332"/>
      <c r="F375" s="333"/>
      <c r="G375" s="98">
        <f>SUM(G374:G374)</f>
        <v>812</v>
      </c>
      <c r="H375" s="98">
        <f>SUM(H374:H374)</f>
        <v>2070.6</v>
      </c>
      <c r="I375" s="72"/>
    </row>
    <row r="376" spans="1:9" ht="25.5" customHeight="1" thickBot="1">
      <c r="A376" s="331" t="s">
        <v>267</v>
      </c>
      <c r="B376" s="332"/>
      <c r="C376" s="332"/>
      <c r="D376" s="332"/>
      <c r="E376" s="332"/>
      <c r="F376" s="333"/>
      <c r="G376" s="334">
        <f>G375+H375</f>
        <v>2882.6</v>
      </c>
      <c r="H376" s="335"/>
      <c r="I376" s="72"/>
    </row>
    <row r="377" spans="1:9" ht="25.5" customHeight="1" thickBot="1">
      <c r="A377" s="19"/>
      <c r="B377" s="48"/>
      <c r="C377" s="16"/>
      <c r="D377" s="123"/>
      <c r="E377" s="104"/>
      <c r="F377" s="104"/>
      <c r="G377" s="92"/>
      <c r="H377" s="92"/>
      <c r="I377" s="66"/>
    </row>
    <row r="378" spans="1:9" ht="25.5" customHeight="1" thickBot="1">
      <c r="A378" s="331" t="s">
        <v>268</v>
      </c>
      <c r="B378" s="332"/>
      <c r="C378" s="332"/>
      <c r="D378" s="332"/>
      <c r="E378" s="332"/>
      <c r="F378" s="333"/>
      <c r="G378" s="98">
        <f>G375+G371+G367+G359+G354+G330+G294+G245+G136</f>
        <v>500623.17</v>
      </c>
      <c r="H378" s="98">
        <f>H375+H371+H367+H359+H354+H330+H294+H245+H136</f>
        <v>388818.22000000003</v>
      </c>
      <c r="I378" s="72"/>
    </row>
    <row r="379" spans="1:9" ht="25.5" customHeight="1" thickBot="1">
      <c r="A379" s="331" t="s">
        <v>411</v>
      </c>
      <c r="B379" s="332"/>
      <c r="C379" s="332"/>
      <c r="D379" s="332"/>
      <c r="E379" s="332"/>
      <c r="F379" s="333"/>
      <c r="G379" s="334">
        <f>G378+H378</f>
        <v>889441.39</v>
      </c>
      <c r="H379" s="335"/>
      <c r="I379" s="72"/>
    </row>
    <row r="381" ht="25.5">
      <c r="H381" s="110"/>
    </row>
  </sheetData>
  <sheetProtection/>
  <mergeCells count="133">
    <mergeCell ref="A379:F379"/>
    <mergeCell ref="G379:H379"/>
    <mergeCell ref="A371:F371"/>
    <mergeCell ref="A372:F372"/>
    <mergeCell ref="G372:H372"/>
    <mergeCell ref="B373:I373"/>
    <mergeCell ref="A375:F375"/>
    <mergeCell ref="A376:F376"/>
    <mergeCell ref="G376:H376"/>
    <mergeCell ref="A378:F378"/>
    <mergeCell ref="A368:F368"/>
    <mergeCell ref="G368:H368"/>
    <mergeCell ref="B369:I369"/>
    <mergeCell ref="A367:F367"/>
    <mergeCell ref="A360:F360"/>
    <mergeCell ref="B361:I361"/>
    <mergeCell ref="A246:F246"/>
    <mergeCell ref="B247:I247"/>
    <mergeCell ref="A294:F294"/>
    <mergeCell ref="A295:F295"/>
    <mergeCell ref="B356:I356"/>
    <mergeCell ref="A359:F359"/>
    <mergeCell ref="A331:F331"/>
    <mergeCell ref="B332:I332"/>
    <mergeCell ref="A354:F354"/>
    <mergeCell ref="A355:F355"/>
    <mergeCell ref="A227:F227"/>
    <mergeCell ref="G227:H227"/>
    <mergeCell ref="B296:I296"/>
    <mergeCell ref="A330:F330"/>
    <mergeCell ref="A238:F238"/>
    <mergeCell ref="G238:H238"/>
    <mergeCell ref="B243:F243"/>
    <mergeCell ref="A244:F244"/>
    <mergeCell ref="G244:H244"/>
    <mergeCell ref="A245:F245"/>
    <mergeCell ref="A237:F237"/>
    <mergeCell ref="A210:F210"/>
    <mergeCell ref="G210:H210"/>
    <mergeCell ref="A213:F213"/>
    <mergeCell ref="A214:F214"/>
    <mergeCell ref="G214:H214"/>
    <mergeCell ref="A221:F221"/>
    <mergeCell ref="A222:F222"/>
    <mergeCell ref="G222:H222"/>
    <mergeCell ref="A226:F226"/>
    <mergeCell ref="A204:F204"/>
    <mergeCell ref="A205:F205"/>
    <mergeCell ref="G205:H205"/>
    <mergeCell ref="A182:F182"/>
    <mergeCell ref="G182:H182"/>
    <mergeCell ref="A167:F167"/>
    <mergeCell ref="G167:H167"/>
    <mergeCell ref="A173:F173"/>
    <mergeCell ref="A154:F154"/>
    <mergeCell ref="G154:H154"/>
    <mergeCell ref="A160:F160"/>
    <mergeCell ref="A209:F209"/>
    <mergeCell ref="A174:F174"/>
    <mergeCell ref="G174:H174"/>
    <mergeCell ref="A181:F181"/>
    <mergeCell ref="A192:F192"/>
    <mergeCell ref="A193:F193"/>
    <mergeCell ref="G193:H193"/>
    <mergeCell ref="A161:F161"/>
    <mergeCell ref="G161:H161"/>
    <mergeCell ref="A166:F166"/>
    <mergeCell ref="A149:F149"/>
    <mergeCell ref="A142:F142"/>
    <mergeCell ref="A143:F143"/>
    <mergeCell ref="G143:H143"/>
    <mergeCell ref="A150:F150"/>
    <mergeCell ref="G150:H150"/>
    <mergeCell ref="A153:F153"/>
    <mergeCell ref="A135:F135"/>
    <mergeCell ref="G135:H135"/>
    <mergeCell ref="A137:F137"/>
    <mergeCell ref="B138:I138"/>
    <mergeCell ref="A136:F136"/>
    <mergeCell ref="A111:F111"/>
    <mergeCell ref="G111:H111"/>
    <mergeCell ref="A118:F118"/>
    <mergeCell ref="A119:F119"/>
    <mergeCell ref="G119:H119"/>
    <mergeCell ref="B124:F124"/>
    <mergeCell ref="A125:F125"/>
    <mergeCell ref="G125:H125"/>
    <mergeCell ref="A134:F134"/>
    <mergeCell ref="G97:H97"/>
    <mergeCell ref="A104:F104"/>
    <mergeCell ref="A105:F105"/>
    <mergeCell ref="G105:H105"/>
    <mergeCell ref="A71:F71"/>
    <mergeCell ref="G71:H71"/>
    <mergeCell ref="A110:F110"/>
    <mergeCell ref="A78:F78"/>
    <mergeCell ref="G78:H78"/>
    <mergeCell ref="A84:F84"/>
    <mergeCell ref="A85:F85"/>
    <mergeCell ref="G85:H85"/>
    <mergeCell ref="A96:F96"/>
    <mergeCell ref="A97:F97"/>
    <mergeCell ref="A77:F77"/>
    <mergeCell ref="A52:F52"/>
    <mergeCell ref="G52:H52"/>
    <mergeCell ref="A58:F58"/>
    <mergeCell ref="A59:F59"/>
    <mergeCell ref="G59:H59"/>
    <mergeCell ref="A63:F63"/>
    <mergeCell ref="A64:F64"/>
    <mergeCell ref="G64:H64"/>
    <mergeCell ref="A70:F70"/>
    <mergeCell ref="A42:F42"/>
    <mergeCell ref="G42:H42"/>
    <mergeCell ref="A46:F46"/>
    <mergeCell ref="A47:F47"/>
    <mergeCell ref="G47:H47"/>
    <mergeCell ref="A51:F51"/>
    <mergeCell ref="I8:I9"/>
    <mergeCell ref="B10:I10"/>
    <mergeCell ref="A27:F27"/>
    <mergeCell ref="A28:F28"/>
    <mergeCell ref="B29:I29"/>
    <mergeCell ref="A34:F34"/>
    <mergeCell ref="G28:H28"/>
    <mergeCell ref="A35:F35"/>
    <mergeCell ref="G35:H35"/>
    <mergeCell ref="A41:F41"/>
    <mergeCell ref="C1:H2"/>
    <mergeCell ref="A6:H6"/>
    <mergeCell ref="D8:D9"/>
    <mergeCell ref="E8:F8"/>
    <mergeCell ref="G8:H8"/>
  </mergeCells>
  <printOptions horizontalCentered="1" verticalCentered="1"/>
  <pageMargins left="0" right="0.47" top="0.7480314960629921" bottom="0.7480314960629921" header="0.31496062992125984" footer="0.31496062992125984"/>
  <pageSetup horizontalDpi="600" verticalDpi="600" orientation="landscape" paperSize="9" scale="17" r:id="rId2"/>
  <rowBreaks count="6" manualBreakCount="6">
    <brk id="78" max="8" man="1"/>
    <brk id="182" max="8" man="1"/>
    <brk id="246" max="8" man="1"/>
    <brk id="295" max="8" man="1"/>
    <brk id="360" max="8" man="1"/>
    <brk id="379" max="8" man="1"/>
  </rowBreaks>
  <colBreaks count="1" manualBreakCount="1">
    <brk id="9" max="4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8"/>
  <sheetViews>
    <sheetView view="pageBreakPreview" zoomScale="50" zoomScaleNormal="50" zoomScaleSheetLayoutView="50" workbookViewId="0" topLeftCell="A1">
      <pane ySplit="9" topLeftCell="A10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9.421875" style="2" customWidth="1"/>
    <col min="2" max="2" width="202.421875" style="54" customWidth="1"/>
    <col min="3" max="3" width="18.28125" style="113" customWidth="1"/>
    <col min="4" max="4" width="31.57421875" style="220" customWidth="1"/>
    <col min="5" max="5" width="30.140625" style="109" customWidth="1"/>
    <col min="6" max="6" width="46.7109375" style="405" customWidth="1"/>
    <col min="7" max="7" width="40.8515625" style="74" customWidth="1"/>
    <col min="8" max="26" width="9.140625" style="2" customWidth="1"/>
    <col min="27" max="244" width="9.140625" style="151" customWidth="1"/>
    <col min="245" max="16384" width="9.140625" style="2" customWidth="1"/>
  </cols>
  <sheetData>
    <row r="1" spans="1:26" ht="25.5" customHeight="1">
      <c r="A1" s="29"/>
      <c r="B1" s="32"/>
      <c r="C1" s="336"/>
      <c r="D1" s="336"/>
      <c r="E1" s="336"/>
      <c r="F1" s="336"/>
      <c r="G1" s="406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6" ht="25.5" customHeight="1">
      <c r="A2" s="30" t="s">
        <v>624</v>
      </c>
      <c r="B2" s="33" t="s">
        <v>636</v>
      </c>
      <c r="C2" s="337"/>
      <c r="D2" s="337"/>
      <c r="E2" s="337"/>
      <c r="F2" s="337"/>
      <c r="G2" s="407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</row>
    <row r="3" spans="1:26" ht="25.5" customHeight="1">
      <c r="A3" s="31" t="s">
        <v>637</v>
      </c>
      <c r="B3" s="33"/>
      <c r="C3" s="111"/>
      <c r="D3" s="218"/>
      <c r="E3" s="101"/>
      <c r="F3" s="394"/>
      <c r="G3" s="235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26" ht="25.5" customHeight="1">
      <c r="A4" s="30" t="s">
        <v>623</v>
      </c>
      <c r="B4" s="33"/>
      <c r="C4" s="111"/>
      <c r="D4" s="218"/>
      <c r="E4" s="101"/>
      <c r="F4" s="394"/>
      <c r="G4" s="235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</row>
    <row r="5" spans="1:26" ht="25.5" customHeight="1">
      <c r="A5" s="3" t="s">
        <v>763</v>
      </c>
      <c r="B5" s="232"/>
      <c r="C5" s="111"/>
      <c r="D5" s="218"/>
      <c r="E5" s="208" t="s">
        <v>410</v>
      </c>
      <c r="F5" s="395">
        <f>BDI!U11</f>
        <v>0.3107</v>
      </c>
      <c r="G5" s="235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</row>
    <row r="6" spans="1:26" ht="25.5" customHeight="1">
      <c r="A6" s="305" t="s">
        <v>286</v>
      </c>
      <c r="B6" s="306"/>
      <c r="C6" s="306"/>
      <c r="D6" s="306"/>
      <c r="E6" s="306"/>
      <c r="F6" s="306"/>
      <c r="G6" s="236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25.5" customHeight="1" thickBot="1">
      <c r="A7" s="55"/>
      <c r="B7" s="56"/>
      <c r="C7" s="112"/>
      <c r="D7" s="219"/>
      <c r="E7" s="103"/>
      <c r="F7" s="396"/>
      <c r="G7" s="237" t="s">
        <v>633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</row>
    <row r="8" spans="1:244" s="222" customFormat="1" ht="25.5" customHeight="1">
      <c r="A8" s="4"/>
      <c r="B8" s="35"/>
      <c r="C8" s="5"/>
      <c r="D8" s="307" t="s">
        <v>295</v>
      </c>
      <c r="E8" s="345" t="s">
        <v>298</v>
      </c>
      <c r="F8" s="397" t="s">
        <v>3</v>
      </c>
      <c r="G8" s="311" t="s">
        <v>622</v>
      </c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</row>
    <row r="9" spans="1:244" s="226" customFormat="1" ht="25.5" customHeight="1" thickBot="1">
      <c r="A9" s="223" t="s">
        <v>0</v>
      </c>
      <c r="B9" s="224" t="s">
        <v>1</v>
      </c>
      <c r="C9" s="225" t="s">
        <v>2</v>
      </c>
      <c r="D9" s="308"/>
      <c r="E9" s="346"/>
      <c r="F9" s="398"/>
      <c r="G9" s="312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239"/>
      <c r="DO9" s="239"/>
      <c r="DP9" s="239"/>
      <c r="DQ9" s="239"/>
      <c r="DR9" s="239"/>
      <c r="DS9" s="239"/>
      <c r="DT9" s="239"/>
      <c r="DU9" s="239"/>
      <c r="DV9" s="239"/>
      <c r="DW9" s="239"/>
      <c r="DX9" s="239"/>
      <c r="DY9" s="239"/>
      <c r="DZ9" s="239"/>
      <c r="EA9" s="239"/>
      <c r="EB9" s="239"/>
      <c r="EC9" s="239"/>
      <c r="ED9" s="239"/>
      <c r="EE9" s="239"/>
      <c r="EF9" s="239"/>
      <c r="EG9" s="239"/>
      <c r="EH9" s="239"/>
      <c r="EI9" s="239"/>
      <c r="EJ9" s="239"/>
      <c r="EK9" s="239"/>
      <c r="EL9" s="239"/>
      <c r="EM9" s="239"/>
      <c r="EN9" s="239"/>
      <c r="EO9" s="239"/>
      <c r="EP9" s="239"/>
      <c r="EQ9" s="239"/>
      <c r="ER9" s="239"/>
      <c r="ES9" s="239"/>
      <c r="ET9" s="239"/>
      <c r="EU9" s="239"/>
      <c r="EV9" s="239"/>
      <c r="EW9" s="239"/>
      <c r="EX9" s="239"/>
      <c r="EY9" s="239"/>
      <c r="EZ9" s="239"/>
      <c r="FA9" s="239"/>
      <c r="FB9" s="239"/>
      <c r="FC9" s="239"/>
      <c r="FD9" s="239"/>
      <c r="FE9" s="239"/>
      <c r="FF9" s="239"/>
      <c r="FG9" s="239"/>
      <c r="FH9" s="239"/>
      <c r="FI9" s="239"/>
      <c r="FJ9" s="239"/>
      <c r="FK9" s="239"/>
      <c r="FL9" s="239"/>
      <c r="FM9" s="239"/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239"/>
      <c r="GI9" s="239"/>
      <c r="GJ9" s="239"/>
      <c r="GK9" s="239"/>
      <c r="GL9" s="239"/>
      <c r="GM9" s="239"/>
      <c r="GN9" s="239"/>
      <c r="GO9" s="239"/>
      <c r="GP9" s="239"/>
      <c r="GQ9" s="239"/>
      <c r="GR9" s="239"/>
      <c r="GS9" s="239"/>
      <c r="GT9" s="239"/>
      <c r="GU9" s="239"/>
      <c r="GV9" s="239"/>
      <c r="GW9" s="239"/>
      <c r="GX9" s="239"/>
      <c r="GY9" s="239"/>
      <c r="GZ9" s="239"/>
      <c r="HA9" s="239"/>
      <c r="HB9" s="239"/>
      <c r="HC9" s="239"/>
      <c r="HD9" s="239"/>
      <c r="HE9" s="239"/>
      <c r="HF9" s="239"/>
      <c r="HG9" s="239"/>
      <c r="HH9" s="239"/>
      <c r="HI9" s="239"/>
      <c r="HJ9" s="239"/>
      <c r="HK9" s="239"/>
      <c r="HL9" s="239"/>
      <c r="HM9" s="239"/>
      <c r="HN9" s="239"/>
      <c r="HO9" s="239"/>
      <c r="HP9" s="239"/>
      <c r="HQ9" s="239"/>
      <c r="HR9" s="239"/>
      <c r="HS9" s="239"/>
      <c r="HT9" s="239"/>
      <c r="HU9" s="239"/>
      <c r="HV9" s="239"/>
      <c r="HW9" s="239"/>
      <c r="HX9" s="239"/>
      <c r="HY9" s="239"/>
      <c r="HZ9" s="239"/>
      <c r="IA9" s="239"/>
      <c r="IB9" s="239"/>
      <c r="IC9" s="239"/>
      <c r="ID9" s="239"/>
      <c r="IE9" s="239"/>
      <c r="IF9" s="239"/>
      <c r="IG9" s="239"/>
      <c r="IH9" s="239"/>
      <c r="II9" s="239"/>
      <c r="IJ9" s="239"/>
    </row>
    <row r="10" spans="1:26" ht="25.5" customHeight="1" thickBot="1">
      <c r="A10" s="28" t="s">
        <v>5</v>
      </c>
      <c r="B10" s="318" t="str">
        <f>A3</f>
        <v>OBRA: PADRÃO CEMIG E GERADOR</v>
      </c>
      <c r="C10" s="319"/>
      <c r="D10" s="319"/>
      <c r="E10" s="319"/>
      <c r="F10" s="319">
        <f>ROUND(D10*E10,2)</f>
        <v>0</v>
      </c>
      <c r="G10" s="344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</row>
    <row r="11" spans="1:26" ht="35.25" customHeight="1" thickBot="1">
      <c r="A11" s="57" t="s">
        <v>25</v>
      </c>
      <c r="B11" s="228" t="s">
        <v>26</v>
      </c>
      <c r="C11" s="59"/>
      <c r="D11" s="216"/>
      <c r="E11" s="211"/>
      <c r="F11" s="399"/>
      <c r="G11" s="65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</row>
    <row r="12" spans="1:26" ht="51.75" thickBot="1">
      <c r="A12" s="212" t="s">
        <v>7</v>
      </c>
      <c r="B12" s="231" t="s">
        <v>761</v>
      </c>
      <c r="C12" s="215" t="s">
        <v>760</v>
      </c>
      <c r="D12" s="216">
        <v>1</v>
      </c>
      <c r="E12" s="217">
        <f>0.005*17948.69</f>
        <v>89.74345</v>
      </c>
      <c r="F12" s="393">
        <f aca="true" t="shared" si="0" ref="F12:F17">ROUND(D12*E12,2)</f>
        <v>89.74</v>
      </c>
      <c r="G12" s="213" t="s">
        <v>759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</row>
    <row r="13" spans="1:244" s="209" customFormat="1" ht="30.75" customHeight="1" thickBot="1">
      <c r="A13" s="214" t="s">
        <v>9</v>
      </c>
      <c r="B13" s="231" t="s">
        <v>638</v>
      </c>
      <c r="C13" s="215" t="s">
        <v>2</v>
      </c>
      <c r="D13" s="216">
        <v>1</v>
      </c>
      <c r="E13" s="217">
        <v>81.18</v>
      </c>
      <c r="F13" s="393">
        <f t="shared" si="0"/>
        <v>81.18</v>
      </c>
      <c r="G13" s="213" t="s">
        <v>639</v>
      </c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  <c r="GO13" s="234"/>
      <c r="GP13" s="234"/>
      <c r="GQ13" s="234"/>
      <c r="GR13" s="234"/>
      <c r="GS13" s="234"/>
      <c r="GT13" s="234"/>
      <c r="GU13" s="234"/>
      <c r="GV13" s="234"/>
      <c r="GW13" s="234"/>
      <c r="GX13" s="234"/>
      <c r="GY13" s="234"/>
      <c r="GZ13" s="234"/>
      <c r="HA13" s="234"/>
      <c r="HB13" s="234"/>
      <c r="HC13" s="234"/>
      <c r="HD13" s="234"/>
      <c r="HE13" s="234"/>
      <c r="HF13" s="234"/>
      <c r="HG13" s="234"/>
      <c r="HH13" s="234"/>
      <c r="HI13" s="234"/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</row>
    <row r="14" spans="1:26" ht="25.5" customHeight="1" thickBot="1">
      <c r="A14" s="212" t="s">
        <v>10</v>
      </c>
      <c r="B14" s="231" t="s">
        <v>640</v>
      </c>
      <c r="C14" s="215" t="s">
        <v>644</v>
      </c>
      <c r="D14" s="216">
        <v>10</v>
      </c>
      <c r="E14" s="217">
        <v>12.23</v>
      </c>
      <c r="F14" s="393">
        <f t="shared" si="0"/>
        <v>122.3</v>
      </c>
      <c r="G14" s="213" t="s">
        <v>641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</row>
    <row r="15" spans="1:26" ht="25.5" customHeight="1" thickBot="1">
      <c r="A15" s="214" t="s">
        <v>12</v>
      </c>
      <c r="B15" s="231" t="s">
        <v>642</v>
      </c>
      <c r="C15" s="215" t="s">
        <v>644</v>
      </c>
      <c r="D15" s="216">
        <v>0.5</v>
      </c>
      <c r="E15" s="217">
        <v>57.97</v>
      </c>
      <c r="F15" s="393">
        <f t="shared" si="0"/>
        <v>28.99</v>
      </c>
      <c r="G15" s="213" t="s">
        <v>643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</row>
    <row r="16" spans="1:26" ht="25.5" customHeight="1" thickBot="1">
      <c r="A16" s="212" t="s">
        <v>15</v>
      </c>
      <c r="B16" s="231" t="s">
        <v>645</v>
      </c>
      <c r="C16" s="215" t="s">
        <v>39</v>
      </c>
      <c r="D16" s="216">
        <v>8.23</v>
      </c>
      <c r="E16" s="217">
        <v>11.31</v>
      </c>
      <c r="F16" s="393">
        <f t="shared" si="0"/>
        <v>93.08</v>
      </c>
      <c r="G16" s="213" t="s">
        <v>646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ht="25.5" customHeight="1" thickBot="1">
      <c r="A17" s="214" t="s">
        <v>172</v>
      </c>
      <c r="B17" s="231" t="s">
        <v>702</v>
      </c>
      <c r="C17" s="215" t="s">
        <v>367</v>
      </c>
      <c r="D17" s="216">
        <v>15</v>
      </c>
      <c r="E17" s="217">
        <v>97.15</v>
      </c>
      <c r="F17" s="393">
        <f t="shared" si="0"/>
        <v>1457.25</v>
      </c>
      <c r="G17" s="213" t="s">
        <v>703</v>
      </c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</row>
    <row r="18" spans="1:244" s="221" customFormat="1" ht="42.75" customHeight="1" thickBot="1">
      <c r="A18" s="338" t="s">
        <v>30</v>
      </c>
      <c r="B18" s="339"/>
      <c r="C18" s="339"/>
      <c r="D18" s="339"/>
      <c r="E18" s="339"/>
      <c r="F18" s="400">
        <f>SUM(F12:F17)</f>
        <v>1872.54</v>
      </c>
      <c r="G18" s="227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0"/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0"/>
      <c r="FF18" s="240"/>
      <c r="FG18" s="240"/>
      <c r="FH18" s="240"/>
      <c r="FI18" s="240"/>
      <c r="FJ18" s="240"/>
      <c r="FK18" s="240"/>
      <c r="FL18" s="240"/>
      <c r="FM18" s="240"/>
      <c r="FN18" s="240"/>
      <c r="FO18" s="240"/>
      <c r="FP18" s="240"/>
      <c r="FQ18" s="240"/>
      <c r="FR18" s="240"/>
      <c r="FS18" s="240"/>
      <c r="FT18" s="240"/>
      <c r="FU18" s="240"/>
      <c r="FV18" s="240"/>
      <c r="FW18" s="240"/>
      <c r="FX18" s="240"/>
      <c r="FY18" s="240"/>
      <c r="FZ18" s="240"/>
      <c r="GA18" s="240"/>
      <c r="GB18" s="240"/>
      <c r="GC18" s="240"/>
      <c r="GD18" s="240"/>
      <c r="GE18" s="240"/>
      <c r="GF18" s="240"/>
      <c r="GG18" s="240"/>
      <c r="GH18" s="240"/>
      <c r="GI18" s="240"/>
      <c r="GJ18" s="240"/>
      <c r="GK18" s="240"/>
      <c r="GL18" s="240"/>
      <c r="GM18" s="240"/>
      <c r="GN18" s="240"/>
      <c r="GO18" s="240"/>
      <c r="GP18" s="240"/>
      <c r="GQ18" s="240"/>
      <c r="GR18" s="240"/>
      <c r="GS18" s="240"/>
      <c r="GT18" s="240"/>
      <c r="GU18" s="240"/>
      <c r="GV18" s="240"/>
      <c r="GW18" s="240"/>
      <c r="GX18" s="240"/>
      <c r="GY18" s="240"/>
      <c r="GZ18" s="240"/>
      <c r="HA18" s="240"/>
      <c r="HB18" s="240"/>
      <c r="HC18" s="240"/>
      <c r="HD18" s="240"/>
      <c r="HE18" s="240"/>
      <c r="HF18" s="240"/>
      <c r="HG18" s="240"/>
      <c r="HH18" s="240"/>
      <c r="HI18" s="240"/>
      <c r="HJ18" s="240"/>
      <c r="HK18" s="240"/>
      <c r="HL18" s="240"/>
      <c r="HM18" s="240"/>
      <c r="HN18" s="240"/>
      <c r="HO18" s="240"/>
      <c r="HP18" s="240"/>
      <c r="HQ18" s="240"/>
      <c r="HR18" s="240"/>
      <c r="HS18" s="240"/>
      <c r="HT18" s="240"/>
      <c r="HU18" s="240"/>
      <c r="HV18" s="240"/>
      <c r="HW18" s="240"/>
      <c r="HX18" s="240"/>
      <c r="HY18" s="240"/>
      <c r="HZ18" s="240"/>
      <c r="IA18" s="240"/>
      <c r="IB18" s="240"/>
      <c r="IC18" s="240"/>
      <c r="ID18" s="240"/>
      <c r="IE18" s="240"/>
      <c r="IF18" s="240"/>
      <c r="IG18" s="240"/>
      <c r="IH18" s="240"/>
      <c r="II18" s="240"/>
      <c r="IJ18" s="240"/>
    </row>
    <row r="19" spans="1:26" ht="35.25" customHeight="1" thickBot="1">
      <c r="A19" s="57" t="s">
        <v>23</v>
      </c>
      <c r="B19" s="228" t="s">
        <v>654</v>
      </c>
      <c r="C19" s="59"/>
      <c r="D19" s="216"/>
      <c r="E19" s="211"/>
      <c r="F19" s="399"/>
      <c r="G19" s="65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</row>
    <row r="20" spans="1:26" ht="27.75" customHeight="1" thickBot="1">
      <c r="A20" s="212" t="s">
        <v>33</v>
      </c>
      <c r="B20" s="231" t="s">
        <v>664</v>
      </c>
      <c r="C20" s="215" t="s">
        <v>8</v>
      </c>
      <c r="D20" s="216">
        <f>6*5</f>
        <v>30</v>
      </c>
      <c r="E20" s="217">
        <v>6.91</v>
      </c>
      <c r="F20" s="393">
        <f aca="true" t="shared" si="1" ref="F20:F27">ROUND(D20*E20,2)</f>
        <v>207.3</v>
      </c>
      <c r="G20" s="213" t="s">
        <v>665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</row>
    <row r="21" spans="1:26" ht="27.75" customHeight="1" thickBot="1">
      <c r="A21" s="212" t="s">
        <v>35</v>
      </c>
      <c r="B21" s="231" t="s">
        <v>657</v>
      </c>
      <c r="C21" s="215" t="s">
        <v>658</v>
      </c>
      <c r="D21" s="216">
        <v>243.3</v>
      </c>
      <c r="E21" s="217">
        <v>7.88</v>
      </c>
      <c r="F21" s="393">
        <f t="shared" si="1"/>
        <v>1917.2</v>
      </c>
      <c r="G21" s="213" t="s">
        <v>659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</row>
    <row r="22" spans="1:26" ht="27.75" customHeight="1" thickBot="1">
      <c r="A22" s="212" t="s">
        <v>37</v>
      </c>
      <c r="B22" s="231" t="s">
        <v>660</v>
      </c>
      <c r="C22" s="215" t="s">
        <v>658</v>
      </c>
      <c r="D22" s="216">
        <v>13.3</v>
      </c>
      <c r="E22" s="217">
        <v>7.84</v>
      </c>
      <c r="F22" s="393">
        <f t="shared" si="1"/>
        <v>104.27</v>
      </c>
      <c r="G22" s="213" t="s">
        <v>661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</row>
    <row r="23" spans="1:26" ht="27.75" customHeight="1" thickBot="1">
      <c r="A23" s="212" t="s">
        <v>365</v>
      </c>
      <c r="B23" s="231" t="s">
        <v>662</v>
      </c>
      <c r="C23" s="215" t="s">
        <v>8</v>
      </c>
      <c r="D23" s="216">
        <f>(3.2+4.2)*2*0.2</f>
        <v>2.9600000000000004</v>
      </c>
      <c r="E23" s="217">
        <v>69.53</v>
      </c>
      <c r="F23" s="393">
        <f t="shared" si="1"/>
        <v>205.81</v>
      </c>
      <c r="G23" s="213" t="s">
        <v>663</v>
      </c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</row>
    <row r="24" spans="1:26" ht="27.75" customHeight="1" thickBot="1">
      <c r="A24" s="212" t="s">
        <v>635</v>
      </c>
      <c r="B24" s="231" t="s">
        <v>706</v>
      </c>
      <c r="C24" s="215" t="s">
        <v>644</v>
      </c>
      <c r="D24" s="216">
        <f>(3.2+0.4)*(4.2+0.4)*0.2+26.6*0.6*0.3</f>
        <v>8.100000000000001</v>
      </c>
      <c r="E24" s="217">
        <v>45.53</v>
      </c>
      <c r="F24" s="393">
        <f t="shared" si="1"/>
        <v>368.79</v>
      </c>
      <c r="G24" s="213" t="s">
        <v>709</v>
      </c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</row>
    <row r="25" spans="1:26" ht="27.75" customHeight="1" thickBot="1">
      <c r="A25" s="212" t="s">
        <v>710</v>
      </c>
      <c r="B25" s="231" t="s">
        <v>707</v>
      </c>
      <c r="C25" s="215" t="s">
        <v>644</v>
      </c>
      <c r="D25" s="216">
        <f>26.6*0.6*0.3</f>
        <v>4.788</v>
      </c>
      <c r="E25" s="217">
        <v>45.53</v>
      </c>
      <c r="F25" s="393">
        <f t="shared" si="1"/>
        <v>218</v>
      </c>
      <c r="G25" s="213" t="s">
        <v>708</v>
      </c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</row>
    <row r="26" spans="1:26" ht="27.75" customHeight="1" thickBot="1">
      <c r="A26" s="212" t="s">
        <v>711</v>
      </c>
      <c r="B26" s="231" t="s">
        <v>714</v>
      </c>
      <c r="C26" s="215" t="s">
        <v>644</v>
      </c>
      <c r="D26" s="216">
        <f>4.4*3.4*0.05</f>
        <v>0.7480000000000001</v>
      </c>
      <c r="E26" s="217">
        <v>371.7</v>
      </c>
      <c r="F26" s="393">
        <f t="shared" si="1"/>
        <v>278.03</v>
      </c>
      <c r="G26" s="213" t="s">
        <v>713</v>
      </c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</row>
    <row r="27" spans="1:26" ht="75.75" customHeight="1" thickBot="1">
      <c r="A27" s="212" t="s">
        <v>715</v>
      </c>
      <c r="B27" s="231" t="s">
        <v>655</v>
      </c>
      <c r="C27" s="215" t="s">
        <v>644</v>
      </c>
      <c r="D27" s="216">
        <v>3</v>
      </c>
      <c r="E27" s="217">
        <v>371.67</v>
      </c>
      <c r="F27" s="393">
        <f t="shared" si="1"/>
        <v>1115.01</v>
      </c>
      <c r="G27" s="213" t="s">
        <v>656</v>
      </c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</row>
    <row r="28" spans="1:244" s="221" customFormat="1" ht="42.75" customHeight="1" thickBot="1">
      <c r="A28" s="338" t="s">
        <v>41</v>
      </c>
      <c r="B28" s="339"/>
      <c r="C28" s="339"/>
      <c r="D28" s="339"/>
      <c r="E28" s="339"/>
      <c r="F28" s="400">
        <f>SUM(F20:F27)</f>
        <v>4414.41</v>
      </c>
      <c r="G28" s="227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0"/>
      <c r="EL28" s="240"/>
      <c r="EM28" s="240"/>
      <c r="EN28" s="240"/>
      <c r="EO28" s="240"/>
      <c r="EP28" s="240"/>
      <c r="EQ28" s="240"/>
      <c r="ER28" s="240"/>
      <c r="ES28" s="240"/>
      <c r="ET28" s="240"/>
      <c r="EU28" s="240"/>
      <c r="EV28" s="240"/>
      <c r="EW28" s="240"/>
      <c r="EX28" s="240"/>
      <c r="EY28" s="240"/>
      <c r="EZ28" s="240"/>
      <c r="FA28" s="240"/>
      <c r="FB28" s="240"/>
      <c r="FC28" s="240"/>
      <c r="FD28" s="240"/>
      <c r="FE28" s="240"/>
      <c r="FF28" s="240"/>
      <c r="FG28" s="240"/>
      <c r="FH28" s="240"/>
      <c r="FI28" s="240"/>
      <c r="FJ28" s="240"/>
      <c r="FK28" s="240"/>
      <c r="FL28" s="240"/>
      <c r="FM28" s="240"/>
      <c r="FN28" s="240"/>
      <c r="FO28" s="240"/>
      <c r="FP28" s="240"/>
      <c r="FQ28" s="240"/>
      <c r="FR28" s="240"/>
      <c r="FS28" s="240"/>
      <c r="FT28" s="240"/>
      <c r="FU28" s="240"/>
      <c r="FV28" s="240"/>
      <c r="FW28" s="240"/>
      <c r="FX28" s="240"/>
      <c r="FY28" s="240"/>
      <c r="FZ28" s="240"/>
      <c r="GA28" s="240"/>
      <c r="GB28" s="240"/>
      <c r="GC28" s="240"/>
      <c r="GD28" s="240"/>
      <c r="GE28" s="240"/>
      <c r="GF28" s="240"/>
      <c r="GG28" s="240"/>
      <c r="GH28" s="240"/>
      <c r="GI28" s="240"/>
      <c r="GJ28" s="240"/>
      <c r="GK28" s="240"/>
      <c r="GL28" s="240"/>
      <c r="GM28" s="240"/>
      <c r="GN28" s="240"/>
      <c r="GO28" s="240"/>
      <c r="GP28" s="240"/>
      <c r="GQ28" s="240"/>
      <c r="GR28" s="240"/>
      <c r="GS28" s="240"/>
      <c r="GT28" s="240"/>
      <c r="GU28" s="240"/>
      <c r="GV28" s="240"/>
      <c r="GW28" s="240"/>
      <c r="GX28" s="240"/>
      <c r="GY28" s="240"/>
      <c r="GZ28" s="240"/>
      <c r="HA28" s="240"/>
      <c r="HB28" s="240"/>
      <c r="HC28" s="240"/>
      <c r="HD28" s="240"/>
      <c r="HE28" s="240"/>
      <c r="HF28" s="240"/>
      <c r="HG28" s="240"/>
      <c r="HH28" s="240"/>
      <c r="HI28" s="240"/>
      <c r="HJ28" s="240"/>
      <c r="HK28" s="240"/>
      <c r="HL28" s="240"/>
      <c r="HM28" s="240"/>
      <c r="HN28" s="240"/>
      <c r="HO28" s="240"/>
      <c r="HP28" s="240"/>
      <c r="HQ28" s="240"/>
      <c r="HR28" s="240"/>
      <c r="HS28" s="240"/>
      <c r="HT28" s="240"/>
      <c r="HU28" s="240"/>
      <c r="HV28" s="240"/>
      <c r="HW28" s="240"/>
      <c r="HX28" s="240"/>
      <c r="HY28" s="240"/>
      <c r="HZ28" s="240"/>
      <c r="IA28" s="240"/>
      <c r="IB28" s="240"/>
      <c r="IC28" s="240"/>
      <c r="ID28" s="240"/>
      <c r="IE28" s="240"/>
      <c r="IF28" s="240"/>
      <c r="IG28" s="240"/>
      <c r="IH28" s="240"/>
      <c r="II28" s="240"/>
      <c r="IJ28" s="240"/>
    </row>
    <row r="29" spans="1:26" ht="35.25" customHeight="1" thickBot="1">
      <c r="A29" s="57" t="s">
        <v>43</v>
      </c>
      <c r="B29" s="228" t="s">
        <v>699</v>
      </c>
      <c r="C29" s="59"/>
      <c r="D29" s="216"/>
      <c r="E29" s="211"/>
      <c r="F29" s="399"/>
      <c r="G29" s="65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</row>
    <row r="30" spans="1:26" ht="27.75" customHeight="1" thickBot="1">
      <c r="A30" s="212" t="s">
        <v>45</v>
      </c>
      <c r="B30" s="231" t="s">
        <v>647</v>
      </c>
      <c r="C30" s="215" t="s">
        <v>2</v>
      </c>
      <c r="D30" s="216">
        <v>3</v>
      </c>
      <c r="E30" s="217">
        <v>416.74</v>
      </c>
      <c r="F30" s="393">
        <f aca="true" t="shared" si="2" ref="F30:F43">ROUND(D30*E30,2)</f>
        <v>1250.22</v>
      </c>
      <c r="G30" s="213" t="s">
        <v>758</v>
      </c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</row>
    <row r="31" spans="1:26" ht="59.25" customHeight="1" thickBot="1">
      <c r="A31" s="212" t="s">
        <v>150</v>
      </c>
      <c r="B31" s="231" t="s">
        <v>705</v>
      </c>
      <c r="C31" s="215" t="s">
        <v>2</v>
      </c>
      <c r="D31" s="216">
        <v>1</v>
      </c>
      <c r="E31" s="217">
        <v>3892.18</v>
      </c>
      <c r="F31" s="393">
        <f t="shared" si="2"/>
        <v>3892.18</v>
      </c>
      <c r="G31" s="213" t="s">
        <v>666</v>
      </c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</row>
    <row r="32" spans="1:26" ht="35.25" customHeight="1" thickBot="1">
      <c r="A32" s="212" t="s">
        <v>151</v>
      </c>
      <c r="B32" s="231" t="s">
        <v>667</v>
      </c>
      <c r="C32" s="215" t="s">
        <v>39</v>
      </c>
      <c r="D32" s="216">
        <v>18</v>
      </c>
      <c r="E32" s="217">
        <v>15.36</v>
      </c>
      <c r="F32" s="393">
        <f t="shared" si="2"/>
        <v>276.48</v>
      </c>
      <c r="G32" s="213" t="s">
        <v>668</v>
      </c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</row>
    <row r="33" spans="1:26" ht="57.75" customHeight="1" thickBot="1">
      <c r="A33" s="212" t="s">
        <v>152</v>
      </c>
      <c r="B33" s="231" t="s">
        <v>669</v>
      </c>
      <c r="C33" s="215" t="s">
        <v>39</v>
      </c>
      <c r="D33" s="216">
        <v>48</v>
      </c>
      <c r="E33" s="217">
        <v>47.8</v>
      </c>
      <c r="F33" s="393">
        <f t="shared" si="2"/>
        <v>2294.4</v>
      </c>
      <c r="G33" s="213" t="s">
        <v>670</v>
      </c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</row>
    <row r="34" spans="1:26" ht="57.75" customHeight="1" thickBot="1">
      <c r="A34" s="212" t="s">
        <v>648</v>
      </c>
      <c r="B34" s="231" t="s">
        <v>671</v>
      </c>
      <c r="C34" s="215" t="s">
        <v>39</v>
      </c>
      <c r="D34" s="216">
        <v>16</v>
      </c>
      <c r="E34" s="217">
        <v>47.8</v>
      </c>
      <c r="F34" s="393">
        <f t="shared" si="2"/>
        <v>764.8</v>
      </c>
      <c r="G34" s="213" t="s">
        <v>672</v>
      </c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</row>
    <row r="35" spans="1:26" ht="57.75" customHeight="1" thickBot="1">
      <c r="A35" s="212" t="s">
        <v>649</v>
      </c>
      <c r="B35" s="231" t="s">
        <v>675</v>
      </c>
      <c r="C35" s="215" t="s">
        <v>2</v>
      </c>
      <c r="D35" s="216">
        <v>7</v>
      </c>
      <c r="E35" s="217">
        <v>146.58</v>
      </c>
      <c r="F35" s="393">
        <f t="shared" si="2"/>
        <v>1026.06</v>
      </c>
      <c r="G35" s="213" t="s">
        <v>676</v>
      </c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35.25" customHeight="1" thickBot="1">
      <c r="A36" s="212" t="s">
        <v>650</v>
      </c>
      <c r="B36" s="231" t="s">
        <v>673</v>
      </c>
      <c r="C36" s="215" t="s">
        <v>2</v>
      </c>
      <c r="D36" s="216">
        <v>6</v>
      </c>
      <c r="E36" s="217">
        <v>98.65</v>
      </c>
      <c r="F36" s="393">
        <f t="shared" si="2"/>
        <v>591.9</v>
      </c>
      <c r="G36" s="213" t="s">
        <v>674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</row>
    <row r="37" spans="1:26" ht="35.25" customHeight="1" thickBot="1">
      <c r="A37" s="212" t="s">
        <v>651</v>
      </c>
      <c r="B37" s="231" t="s">
        <v>677</v>
      </c>
      <c r="C37" s="215" t="s">
        <v>39</v>
      </c>
      <c r="D37" s="216">
        <v>6</v>
      </c>
      <c r="E37" s="217">
        <v>15.6</v>
      </c>
      <c r="F37" s="393">
        <f t="shared" si="2"/>
        <v>93.6</v>
      </c>
      <c r="G37" s="213" t="s">
        <v>678</v>
      </c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</row>
    <row r="38" spans="1:26" ht="35.25" customHeight="1" thickBot="1">
      <c r="A38" s="212" t="s">
        <v>652</v>
      </c>
      <c r="B38" s="231" t="s">
        <v>679</v>
      </c>
      <c r="C38" s="215" t="s">
        <v>39</v>
      </c>
      <c r="D38" s="216">
        <v>26.6</v>
      </c>
      <c r="E38" s="217">
        <v>32.73</v>
      </c>
      <c r="F38" s="393">
        <f t="shared" si="2"/>
        <v>870.62</v>
      </c>
      <c r="G38" s="213" t="s">
        <v>680</v>
      </c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</row>
    <row r="39" spans="1:26" ht="35.25" customHeight="1" thickBot="1">
      <c r="A39" s="212" t="s">
        <v>653</v>
      </c>
      <c r="B39" s="231" t="s">
        <v>716</v>
      </c>
      <c r="C39" s="215" t="s">
        <v>367</v>
      </c>
      <c r="D39" s="216">
        <v>16</v>
      </c>
      <c r="E39" s="217">
        <v>16.91</v>
      </c>
      <c r="F39" s="393">
        <f t="shared" si="2"/>
        <v>270.56</v>
      </c>
      <c r="G39" s="213" t="s">
        <v>717</v>
      </c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</row>
    <row r="40" spans="1:26" ht="35.25" customHeight="1" thickBot="1">
      <c r="A40" s="212" t="s">
        <v>681</v>
      </c>
      <c r="B40" s="231" t="s">
        <v>625</v>
      </c>
      <c r="C40" s="215" t="s">
        <v>8</v>
      </c>
      <c r="D40" s="216">
        <v>3</v>
      </c>
      <c r="E40" s="217">
        <v>41.16</v>
      </c>
      <c r="F40" s="393">
        <f t="shared" si="2"/>
        <v>123.48</v>
      </c>
      <c r="G40" s="213" t="s">
        <v>626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</row>
    <row r="41" spans="1:26" ht="35.25" customHeight="1" thickBot="1">
      <c r="A41" s="212" t="s">
        <v>682</v>
      </c>
      <c r="B41" s="231" t="s">
        <v>627</v>
      </c>
      <c r="C41" s="215" t="s">
        <v>8</v>
      </c>
      <c r="D41" s="216">
        <v>6</v>
      </c>
      <c r="E41" s="217">
        <v>5.24</v>
      </c>
      <c r="F41" s="393">
        <f t="shared" si="2"/>
        <v>31.44</v>
      </c>
      <c r="G41" s="213" t="s">
        <v>628</v>
      </c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</row>
    <row r="42" spans="1:26" ht="35.25" customHeight="1" thickBot="1">
      <c r="A42" s="212" t="s">
        <v>683</v>
      </c>
      <c r="B42" s="231" t="s">
        <v>629</v>
      </c>
      <c r="C42" s="215" t="s">
        <v>8</v>
      </c>
      <c r="D42" s="216">
        <v>6</v>
      </c>
      <c r="E42" s="217">
        <v>30.04</v>
      </c>
      <c r="F42" s="393">
        <f t="shared" si="2"/>
        <v>180.24</v>
      </c>
      <c r="G42" s="213" t="s">
        <v>630</v>
      </c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</row>
    <row r="43" spans="1:26" ht="35.25" customHeight="1" thickBot="1">
      <c r="A43" s="212" t="s">
        <v>762</v>
      </c>
      <c r="B43" s="231" t="s">
        <v>631</v>
      </c>
      <c r="C43" s="215" t="s">
        <v>8</v>
      </c>
      <c r="D43" s="216">
        <v>6</v>
      </c>
      <c r="E43" s="217">
        <v>14.25</v>
      </c>
      <c r="F43" s="393">
        <f t="shared" si="2"/>
        <v>85.5</v>
      </c>
      <c r="G43" s="213" t="s">
        <v>632</v>
      </c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44" s="221" customFormat="1" ht="42.75" customHeight="1" thickBot="1">
      <c r="A44" s="338" t="s">
        <v>46</v>
      </c>
      <c r="B44" s="339"/>
      <c r="C44" s="339"/>
      <c r="D44" s="339"/>
      <c r="E44" s="340"/>
      <c r="F44" s="400">
        <f>SUM(F30:F43)</f>
        <v>11751.479999999998</v>
      </c>
      <c r="G44" s="227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</row>
    <row r="45" spans="1:7" ht="46.5" customHeight="1" thickBot="1">
      <c r="A45" s="57" t="s">
        <v>48</v>
      </c>
      <c r="B45" s="228" t="s">
        <v>704</v>
      </c>
      <c r="C45" s="59"/>
      <c r="D45" s="216"/>
      <c r="E45" s="211"/>
      <c r="F45" s="399"/>
      <c r="G45" s="65"/>
    </row>
    <row r="46" spans="1:7" ht="77.25" thickBot="1">
      <c r="A46" s="212" t="s">
        <v>50</v>
      </c>
      <c r="B46" s="231" t="s">
        <v>756</v>
      </c>
      <c r="C46" s="215" t="s">
        <v>39</v>
      </c>
      <c r="D46" s="216">
        <f>(6.2+5.2)*2</f>
        <v>22.8</v>
      </c>
      <c r="E46" s="217">
        <v>165.39</v>
      </c>
      <c r="F46" s="393">
        <f aca="true" t="shared" si="3" ref="F46:F53">ROUND(D46*E46,2)</f>
        <v>3770.89</v>
      </c>
      <c r="G46" s="213" t="s">
        <v>712</v>
      </c>
    </row>
    <row r="47" spans="1:7" ht="25.5" customHeight="1" thickBot="1">
      <c r="A47" s="212" t="s">
        <v>420</v>
      </c>
      <c r="B47" s="231" t="s">
        <v>685</v>
      </c>
      <c r="C47" s="215" t="s">
        <v>8</v>
      </c>
      <c r="D47" s="216">
        <v>2</v>
      </c>
      <c r="E47" s="217">
        <v>238.88</v>
      </c>
      <c r="F47" s="393">
        <f t="shared" si="3"/>
        <v>477.76</v>
      </c>
      <c r="G47" s="213" t="s">
        <v>686</v>
      </c>
    </row>
    <row r="48" spans="1:7" ht="25.5" customHeight="1" thickBot="1">
      <c r="A48" s="212" t="s">
        <v>421</v>
      </c>
      <c r="B48" s="231" t="s">
        <v>687</v>
      </c>
      <c r="C48" s="215" t="s">
        <v>39</v>
      </c>
      <c r="D48" s="216">
        <v>11</v>
      </c>
      <c r="E48" s="217">
        <v>22.47</v>
      </c>
      <c r="F48" s="393">
        <f t="shared" si="3"/>
        <v>247.17</v>
      </c>
      <c r="G48" s="213" t="s">
        <v>688</v>
      </c>
    </row>
    <row r="49" spans="1:7" ht="88.5" customHeight="1" thickBot="1">
      <c r="A49" s="212" t="s">
        <v>581</v>
      </c>
      <c r="B49" s="231" t="s">
        <v>689</v>
      </c>
      <c r="C49" s="215" t="s">
        <v>2</v>
      </c>
      <c r="D49" s="216">
        <v>1</v>
      </c>
      <c r="E49" s="217">
        <v>556.97</v>
      </c>
      <c r="F49" s="393">
        <f t="shared" si="3"/>
        <v>556.97</v>
      </c>
      <c r="G49" s="213" t="s">
        <v>690</v>
      </c>
    </row>
    <row r="50" spans="1:7" ht="25.5" customHeight="1" thickBot="1">
      <c r="A50" s="212" t="s">
        <v>684</v>
      </c>
      <c r="B50" s="231" t="s">
        <v>691</v>
      </c>
      <c r="C50" s="215" t="s">
        <v>8</v>
      </c>
      <c r="D50" s="216">
        <v>1</v>
      </c>
      <c r="E50" s="217">
        <v>32.42</v>
      </c>
      <c r="F50" s="393">
        <f t="shared" si="3"/>
        <v>32.42</v>
      </c>
      <c r="G50" s="213" t="s">
        <v>692</v>
      </c>
    </row>
    <row r="51" spans="1:7" ht="25.5" customHeight="1" thickBot="1">
      <c r="A51" s="212" t="s">
        <v>697</v>
      </c>
      <c r="B51" s="231" t="s">
        <v>693</v>
      </c>
      <c r="C51" s="215" t="s">
        <v>39</v>
      </c>
      <c r="D51" s="216">
        <v>3</v>
      </c>
      <c r="E51" s="217">
        <v>39.69</v>
      </c>
      <c r="F51" s="393">
        <f t="shared" si="3"/>
        <v>119.07</v>
      </c>
      <c r="G51" s="213" t="s">
        <v>694</v>
      </c>
    </row>
    <row r="52" spans="1:7" ht="25.5" customHeight="1" thickBot="1">
      <c r="A52" s="212" t="s">
        <v>698</v>
      </c>
      <c r="B52" s="231" t="s">
        <v>695</v>
      </c>
      <c r="C52" s="215" t="s">
        <v>39</v>
      </c>
      <c r="D52" s="216">
        <v>8</v>
      </c>
      <c r="E52" s="217">
        <v>44.32</v>
      </c>
      <c r="F52" s="393">
        <f t="shared" si="3"/>
        <v>354.56</v>
      </c>
      <c r="G52" s="213" t="s">
        <v>696</v>
      </c>
    </row>
    <row r="53" spans="1:7" ht="25.5" customHeight="1" thickBot="1">
      <c r="A53" s="212" t="s">
        <v>757</v>
      </c>
      <c r="B53" s="231" t="s">
        <v>700</v>
      </c>
      <c r="C53" s="215" t="s">
        <v>8</v>
      </c>
      <c r="D53" s="216">
        <f>8*6</f>
        <v>48</v>
      </c>
      <c r="E53" s="217">
        <v>4.55</v>
      </c>
      <c r="F53" s="393">
        <f t="shared" si="3"/>
        <v>218.4</v>
      </c>
      <c r="G53" s="213" t="s">
        <v>701</v>
      </c>
    </row>
    <row r="54" spans="1:7" ht="25.5" customHeight="1" thickBot="1">
      <c r="A54" s="338" t="s">
        <v>52</v>
      </c>
      <c r="B54" s="339"/>
      <c r="C54" s="339"/>
      <c r="D54" s="339"/>
      <c r="E54" s="339"/>
      <c r="F54" s="400">
        <f>SUM(F46:F53)</f>
        <v>5777.24</v>
      </c>
      <c r="G54" s="227"/>
    </row>
    <row r="55" spans="1:7" ht="25.5" customHeight="1" thickBot="1">
      <c r="A55" s="242"/>
      <c r="B55" s="243"/>
      <c r="C55" s="244"/>
      <c r="D55" s="245"/>
      <c r="E55" s="246"/>
      <c r="F55" s="401"/>
      <c r="G55" s="65"/>
    </row>
    <row r="56" spans="1:244" s="230" customFormat="1" ht="35.25" customHeight="1" thickBot="1">
      <c r="A56" s="341" t="s">
        <v>634</v>
      </c>
      <c r="B56" s="342"/>
      <c r="C56" s="342"/>
      <c r="D56" s="342"/>
      <c r="E56" s="343"/>
      <c r="F56" s="402">
        <f>F18+F28+F44</f>
        <v>18038.429999999997</v>
      </c>
      <c r="G56" s="229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  <c r="AT56" s="241"/>
      <c r="AU56" s="241"/>
      <c r="AV56" s="241"/>
      <c r="AW56" s="241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BX56" s="241"/>
      <c r="BY56" s="241"/>
      <c r="BZ56" s="241"/>
      <c r="CA56" s="241"/>
      <c r="CB56" s="241"/>
      <c r="CC56" s="241"/>
      <c r="CD56" s="241"/>
      <c r="CE56" s="241"/>
      <c r="CF56" s="241"/>
      <c r="CG56" s="241"/>
      <c r="CH56" s="241"/>
      <c r="CI56" s="241"/>
      <c r="CJ56" s="241"/>
      <c r="CK56" s="241"/>
      <c r="CL56" s="241"/>
      <c r="CM56" s="241"/>
      <c r="CN56" s="241"/>
      <c r="CO56" s="241"/>
      <c r="CP56" s="241"/>
      <c r="CQ56" s="241"/>
      <c r="CR56" s="241"/>
      <c r="CS56" s="241"/>
      <c r="CT56" s="241"/>
      <c r="CU56" s="241"/>
      <c r="CV56" s="241"/>
      <c r="CW56" s="241"/>
      <c r="CX56" s="241"/>
      <c r="CY56" s="241"/>
      <c r="CZ56" s="241"/>
      <c r="DA56" s="241"/>
      <c r="DB56" s="241"/>
      <c r="DC56" s="241"/>
      <c r="DD56" s="241"/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1"/>
      <c r="DT56" s="241"/>
      <c r="DU56" s="241"/>
      <c r="DV56" s="241"/>
      <c r="DW56" s="241"/>
      <c r="DX56" s="241"/>
      <c r="DY56" s="241"/>
      <c r="DZ56" s="241"/>
      <c r="EA56" s="241"/>
      <c r="EB56" s="241"/>
      <c r="EC56" s="241"/>
      <c r="ED56" s="241"/>
      <c r="EE56" s="241"/>
      <c r="EF56" s="241"/>
      <c r="EG56" s="241"/>
      <c r="EH56" s="241"/>
      <c r="EI56" s="241"/>
      <c r="EJ56" s="241"/>
      <c r="EK56" s="241"/>
      <c r="EL56" s="241"/>
      <c r="EM56" s="241"/>
      <c r="EN56" s="241"/>
      <c r="EO56" s="241"/>
      <c r="EP56" s="241"/>
      <c r="EQ56" s="241"/>
      <c r="ER56" s="241"/>
      <c r="ES56" s="241"/>
      <c r="ET56" s="241"/>
      <c r="EU56" s="241"/>
      <c r="EV56" s="241"/>
      <c r="EW56" s="241"/>
      <c r="EX56" s="241"/>
      <c r="EY56" s="241"/>
      <c r="EZ56" s="241"/>
      <c r="FA56" s="241"/>
      <c r="FB56" s="241"/>
      <c r="FC56" s="241"/>
      <c r="FD56" s="241"/>
      <c r="FE56" s="241"/>
      <c r="FF56" s="241"/>
      <c r="FG56" s="241"/>
      <c r="FH56" s="241"/>
      <c r="FI56" s="241"/>
      <c r="FJ56" s="241"/>
      <c r="FK56" s="241"/>
      <c r="FL56" s="241"/>
      <c r="FM56" s="241"/>
      <c r="FN56" s="241"/>
      <c r="FO56" s="241"/>
      <c r="FP56" s="241"/>
      <c r="FQ56" s="241"/>
      <c r="FR56" s="241"/>
      <c r="FS56" s="241"/>
      <c r="FT56" s="241"/>
      <c r="FU56" s="241"/>
      <c r="FV56" s="241"/>
      <c r="FW56" s="241"/>
      <c r="FX56" s="241"/>
      <c r="FY56" s="241"/>
      <c r="FZ56" s="241"/>
      <c r="GA56" s="241"/>
      <c r="GB56" s="241"/>
      <c r="GC56" s="241"/>
      <c r="GD56" s="241"/>
      <c r="GE56" s="241"/>
      <c r="GF56" s="241"/>
      <c r="GG56" s="241"/>
      <c r="GH56" s="241"/>
      <c r="GI56" s="241"/>
      <c r="GJ56" s="241"/>
      <c r="GK56" s="241"/>
      <c r="GL56" s="241"/>
      <c r="GM56" s="241"/>
      <c r="GN56" s="241"/>
      <c r="GO56" s="241"/>
      <c r="GP56" s="241"/>
      <c r="GQ56" s="241"/>
      <c r="GR56" s="241"/>
      <c r="GS56" s="241"/>
      <c r="GT56" s="241"/>
      <c r="GU56" s="241"/>
      <c r="GV56" s="241"/>
      <c r="GW56" s="241"/>
      <c r="GX56" s="241"/>
      <c r="GY56" s="241"/>
      <c r="GZ56" s="241"/>
      <c r="HA56" s="241"/>
      <c r="HB56" s="241"/>
      <c r="HC56" s="241"/>
      <c r="HD56" s="241"/>
      <c r="HE56" s="241"/>
      <c r="HF56" s="241"/>
      <c r="HG56" s="241"/>
      <c r="HH56" s="241"/>
      <c r="HI56" s="241"/>
      <c r="HJ56" s="241"/>
      <c r="HK56" s="241"/>
      <c r="HL56" s="241"/>
      <c r="HM56" s="241"/>
      <c r="HN56" s="241"/>
      <c r="HO56" s="241"/>
      <c r="HP56" s="241"/>
      <c r="HQ56" s="241"/>
      <c r="HR56" s="241"/>
      <c r="HS56" s="241"/>
      <c r="HT56" s="241"/>
      <c r="HU56" s="241"/>
      <c r="HV56" s="241"/>
      <c r="HW56" s="241"/>
      <c r="HX56" s="241"/>
      <c r="HY56" s="241"/>
      <c r="HZ56" s="241"/>
      <c r="IA56" s="241"/>
      <c r="IB56" s="241"/>
      <c r="IC56" s="241"/>
      <c r="ID56" s="241"/>
      <c r="IE56" s="241"/>
      <c r="IF56" s="241"/>
      <c r="IG56" s="241"/>
      <c r="IH56" s="241"/>
      <c r="II56" s="241"/>
      <c r="IJ56" s="241"/>
    </row>
    <row r="57" spans="1:244" s="230" customFormat="1" ht="35.25" customHeight="1" thickBot="1">
      <c r="A57" s="347" t="s">
        <v>412</v>
      </c>
      <c r="B57" s="348"/>
      <c r="C57" s="348"/>
      <c r="D57" s="348"/>
      <c r="E57" s="349"/>
      <c r="F57" s="403">
        <f>F56*(1+F5)</f>
        <v>23642.970200999996</v>
      </c>
      <c r="G57" s="233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  <c r="AT57" s="241"/>
      <c r="AU57" s="241"/>
      <c r="AV57" s="241"/>
      <c r="AW57" s="241"/>
      <c r="AX57" s="241"/>
      <c r="AY57" s="241"/>
      <c r="AZ57" s="241"/>
      <c r="BA57" s="241"/>
      <c r="BB57" s="241"/>
      <c r="BC57" s="241"/>
      <c r="BD57" s="241"/>
      <c r="BE57" s="241"/>
      <c r="BF57" s="241"/>
      <c r="BG57" s="241"/>
      <c r="BH57" s="241"/>
      <c r="BI57" s="241"/>
      <c r="BJ57" s="241"/>
      <c r="BK57" s="241"/>
      <c r="BL57" s="241"/>
      <c r="BM57" s="241"/>
      <c r="BN57" s="241"/>
      <c r="BO57" s="241"/>
      <c r="BP57" s="241"/>
      <c r="BQ57" s="241"/>
      <c r="BR57" s="241"/>
      <c r="BS57" s="241"/>
      <c r="BT57" s="241"/>
      <c r="BU57" s="241"/>
      <c r="BV57" s="241"/>
      <c r="BW57" s="241"/>
      <c r="BX57" s="241"/>
      <c r="BY57" s="241"/>
      <c r="BZ57" s="241"/>
      <c r="CA57" s="241"/>
      <c r="CB57" s="241"/>
      <c r="CC57" s="241"/>
      <c r="CD57" s="241"/>
      <c r="CE57" s="241"/>
      <c r="CF57" s="241"/>
      <c r="CG57" s="241"/>
      <c r="CH57" s="241"/>
      <c r="CI57" s="241"/>
      <c r="CJ57" s="241"/>
      <c r="CK57" s="241"/>
      <c r="CL57" s="241"/>
      <c r="CM57" s="241"/>
      <c r="CN57" s="241"/>
      <c r="CO57" s="241"/>
      <c r="CP57" s="241"/>
      <c r="CQ57" s="241"/>
      <c r="CR57" s="241"/>
      <c r="CS57" s="241"/>
      <c r="CT57" s="241"/>
      <c r="CU57" s="241"/>
      <c r="CV57" s="241"/>
      <c r="CW57" s="241"/>
      <c r="CX57" s="241"/>
      <c r="CY57" s="241"/>
      <c r="CZ57" s="241"/>
      <c r="DA57" s="241"/>
      <c r="DB57" s="241"/>
      <c r="DC57" s="241"/>
      <c r="DD57" s="241"/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1"/>
      <c r="DT57" s="241"/>
      <c r="DU57" s="241"/>
      <c r="DV57" s="241"/>
      <c r="DW57" s="241"/>
      <c r="DX57" s="241"/>
      <c r="DY57" s="241"/>
      <c r="DZ57" s="241"/>
      <c r="EA57" s="241"/>
      <c r="EB57" s="241"/>
      <c r="EC57" s="241"/>
      <c r="ED57" s="241"/>
      <c r="EE57" s="241"/>
      <c r="EF57" s="241"/>
      <c r="EG57" s="241"/>
      <c r="EH57" s="241"/>
      <c r="EI57" s="241"/>
      <c r="EJ57" s="241"/>
      <c r="EK57" s="241"/>
      <c r="EL57" s="241"/>
      <c r="EM57" s="241"/>
      <c r="EN57" s="241"/>
      <c r="EO57" s="241"/>
      <c r="EP57" s="241"/>
      <c r="EQ57" s="241"/>
      <c r="ER57" s="241"/>
      <c r="ES57" s="241"/>
      <c r="ET57" s="241"/>
      <c r="EU57" s="241"/>
      <c r="EV57" s="241"/>
      <c r="EW57" s="241"/>
      <c r="EX57" s="241"/>
      <c r="EY57" s="241"/>
      <c r="EZ57" s="241"/>
      <c r="FA57" s="241"/>
      <c r="FB57" s="241"/>
      <c r="FC57" s="241"/>
      <c r="FD57" s="241"/>
      <c r="FE57" s="241"/>
      <c r="FF57" s="241"/>
      <c r="FG57" s="241"/>
      <c r="FH57" s="241"/>
      <c r="FI57" s="241"/>
      <c r="FJ57" s="241"/>
      <c r="FK57" s="241"/>
      <c r="FL57" s="241"/>
      <c r="FM57" s="241"/>
      <c r="FN57" s="241"/>
      <c r="FO57" s="241"/>
      <c r="FP57" s="241"/>
      <c r="FQ57" s="241"/>
      <c r="FR57" s="241"/>
      <c r="FS57" s="241"/>
      <c r="FT57" s="241"/>
      <c r="FU57" s="241"/>
      <c r="FV57" s="241"/>
      <c r="FW57" s="241"/>
      <c r="FX57" s="241"/>
      <c r="FY57" s="241"/>
      <c r="FZ57" s="241"/>
      <c r="GA57" s="241"/>
      <c r="GB57" s="241"/>
      <c r="GC57" s="241"/>
      <c r="GD57" s="241"/>
      <c r="GE57" s="241"/>
      <c r="GF57" s="241"/>
      <c r="GG57" s="241"/>
      <c r="GH57" s="241"/>
      <c r="GI57" s="241"/>
      <c r="GJ57" s="241"/>
      <c r="GK57" s="241"/>
      <c r="GL57" s="241"/>
      <c r="GM57" s="241"/>
      <c r="GN57" s="241"/>
      <c r="GO57" s="241"/>
      <c r="GP57" s="241"/>
      <c r="GQ57" s="241"/>
      <c r="GR57" s="241"/>
      <c r="GS57" s="241"/>
      <c r="GT57" s="241"/>
      <c r="GU57" s="241"/>
      <c r="GV57" s="241"/>
      <c r="GW57" s="241"/>
      <c r="GX57" s="241"/>
      <c r="GY57" s="241"/>
      <c r="GZ57" s="241"/>
      <c r="HA57" s="241"/>
      <c r="HB57" s="241"/>
      <c r="HC57" s="241"/>
      <c r="HD57" s="241"/>
      <c r="HE57" s="241"/>
      <c r="HF57" s="241"/>
      <c r="HG57" s="241"/>
      <c r="HH57" s="241"/>
      <c r="HI57" s="241"/>
      <c r="HJ57" s="241"/>
      <c r="HK57" s="241"/>
      <c r="HL57" s="241"/>
      <c r="HM57" s="241"/>
      <c r="HN57" s="241"/>
      <c r="HO57" s="241"/>
      <c r="HP57" s="241"/>
      <c r="HQ57" s="241"/>
      <c r="HR57" s="241"/>
      <c r="HS57" s="241"/>
      <c r="HT57" s="241"/>
      <c r="HU57" s="241"/>
      <c r="HV57" s="241"/>
      <c r="HW57" s="241"/>
      <c r="HX57" s="241"/>
      <c r="HY57" s="241"/>
      <c r="HZ57" s="241"/>
      <c r="IA57" s="241"/>
      <c r="IB57" s="241"/>
      <c r="IC57" s="241"/>
      <c r="ID57" s="241"/>
      <c r="IE57" s="241"/>
      <c r="IF57" s="241"/>
      <c r="IG57" s="241"/>
      <c r="IH57" s="241"/>
      <c r="II57" s="241"/>
      <c r="IJ57" s="241"/>
    </row>
    <row r="66" spans="2:6" ht="34.5">
      <c r="B66" s="408" t="s">
        <v>753</v>
      </c>
      <c r="F66" s="404"/>
    </row>
    <row r="67" ht="34.5">
      <c r="B67" s="408" t="s">
        <v>764</v>
      </c>
    </row>
    <row r="68" ht="34.5">
      <c r="B68" s="408" t="s">
        <v>765</v>
      </c>
    </row>
  </sheetData>
  <sheetProtection/>
  <mergeCells count="13">
    <mergeCell ref="G8:G9"/>
    <mergeCell ref="B10:G10"/>
    <mergeCell ref="A18:E18"/>
    <mergeCell ref="E8:E9"/>
    <mergeCell ref="F8:F9"/>
    <mergeCell ref="A57:E57"/>
    <mergeCell ref="C1:F2"/>
    <mergeCell ref="A6:F6"/>
    <mergeCell ref="D8:D9"/>
    <mergeCell ref="A28:E28"/>
    <mergeCell ref="A44:E44"/>
    <mergeCell ref="A56:E56"/>
    <mergeCell ref="A54:E54"/>
  </mergeCells>
  <printOptions horizontalCentered="1" verticalCentered="1"/>
  <pageMargins left="0.7" right="0.7" top="0.75" bottom="0.75" header="0.3" footer="0.3"/>
  <pageSetup fitToHeight="0" fitToWidth="1" horizontalDpi="600" verticalDpi="600" orientation="landscape" paperSize="9" scale="34" r:id="rId1"/>
  <rowBreaks count="1" manualBreakCount="1">
    <brk id="39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sheetData>
    <row r="1" spans="1:23" ht="18.75" thickBot="1">
      <c r="A1" s="247"/>
      <c r="B1" s="247"/>
      <c r="C1" s="247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9"/>
      <c r="V1" s="248"/>
      <c r="W1" s="250"/>
    </row>
    <row r="2" spans="1:23" ht="12.75">
      <c r="A2" s="350" t="s">
        <v>718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2"/>
      <c r="W2" s="251"/>
    </row>
    <row r="3" spans="1:23" ht="12.75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5"/>
      <c r="W3" s="251"/>
    </row>
    <row r="4" spans="1:23" ht="18">
      <c r="A4" s="252"/>
      <c r="B4" s="253"/>
      <c r="C4" s="253"/>
      <c r="D4" s="253"/>
      <c r="E4" s="253"/>
      <c r="F4" s="253"/>
      <c r="G4" s="254"/>
      <c r="H4" s="255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56"/>
      <c r="W4" s="251"/>
    </row>
    <row r="5" spans="1:23" ht="18">
      <c r="A5" s="257" t="s">
        <v>719</v>
      </c>
      <c r="B5" s="247"/>
      <c r="C5" s="247"/>
      <c r="D5" s="247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7"/>
      <c r="Q5" s="247"/>
      <c r="R5" s="258" t="s">
        <v>720</v>
      </c>
      <c r="S5" s="249"/>
      <c r="T5" s="249"/>
      <c r="U5" s="249"/>
      <c r="V5" s="256"/>
      <c r="W5" s="251"/>
    </row>
    <row r="6" spans="1:23" ht="18">
      <c r="A6" s="356" t="s">
        <v>721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 t="s">
        <v>722</v>
      </c>
      <c r="S6" s="357"/>
      <c r="T6" s="357"/>
      <c r="U6" s="357"/>
      <c r="V6" s="359"/>
      <c r="W6" s="259"/>
    </row>
    <row r="7" spans="1:23" ht="18">
      <c r="A7" s="260"/>
      <c r="B7" s="261"/>
      <c r="C7" s="261"/>
      <c r="D7" s="261"/>
      <c r="E7" s="261"/>
      <c r="F7" s="261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3"/>
      <c r="W7" s="264"/>
    </row>
    <row r="8" spans="1:23" ht="18">
      <c r="A8" s="257" t="s">
        <v>723</v>
      </c>
      <c r="B8" s="247"/>
      <c r="C8" s="247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8" t="s">
        <v>724</v>
      </c>
      <c r="Q8" s="249"/>
      <c r="R8" s="249"/>
      <c r="S8" s="247"/>
      <c r="T8" s="265"/>
      <c r="U8" s="249"/>
      <c r="V8" s="256"/>
      <c r="W8" s="251"/>
    </row>
    <row r="9" spans="1:23" ht="18">
      <c r="A9" s="356" t="s">
        <v>766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60" t="s">
        <v>725</v>
      </c>
      <c r="Q9" s="361"/>
      <c r="R9" s="361"/>
      <c r="S9" s="361"/>
      <c r="T9" s="361"/>
      <c r="U9" s="361"/>
      <c r="V9" s="362"/>
      <c r="W9" s="251"/>
    </row>
    <row r="10" spans="1:23" ht="18.75" thickBot="1">
      <c r="A10" s="266" t="s">
        <v>726</v>
      </c>
      <c r="B10" s="267"/>
      <c r="C10" s="267"/>
      <c r="D10" s="267"/>
      <c r="E10" s="267"/>
      <c r="F10" s="267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9"/>
      <c r="W10" s="259"/>
    </row>
    <row r="11" spans="1:23" ht="12.75">
      <c r="A11" s="363" t="s">
        <v>727</v>
      </c>
      <c r="B11" s="363"/>
      <c r="C11" s="363"/>
      <c r="D11" s="363"/>
      <c r="E11" s="363"/>
      <c r="F11" s="365" t="s">
        <v>728</v>
      </c>
      <c r="G11" s="365"/>
      <c r="H11" s="365"/>
      <c r="I11" s="365"/>
      <c r="J11" s="365"/>
      <c r="K11" s="365"/>
      <c r="L11" s="367" t="s">
        <v>729</v>
      </c>
      <c r="M11" s="367"/>
      <c r="N11" s="367"/>
      <c r="O11" s="367"/>
      <c r="P11" s="367"/>
      <c r="Q11" s="367" t="s">
        <v>730</v>
      </c>
      <c r="R11" s="367"/>
      <c r="S11" s="367"/>
      <c r="T11" s="367"/>
      <c r="U11" s="369">
        <f>ROUND((((1+O16+O14+O13)*(1+O15)*(1+O17))/(1-O18))-1,4)</f>
        <v>0.3107</v>
      </c>
      <c r="V11" s="370"/>
      <c r="W11" s="251"/>
    </row>
    <row r="12" spans="1:23" ht="12.75">
      <c r="A12" s="364"/>
      <c r="B12" s="364"/>
      <c r="C12" s="364"/>
      <c r="D12" s="364"/>
      <c r="E12" s="364"/>
      <c r="F12" s="366"/>
      <c r="G12" s="366"/>
      <c r="H12" s="366"/>
      <c r="I12" s="366"/>
      <c r="J12" s="366"/>
      <c r="K12" s="366"/>
      <c r="L12" s="368"/>
      <c r="M12" s="368"/>
      <c r="N12" s="368"/>
      <c r="O12" s="368"/>
      <c r="P12" s="368"/>
      <c r="Q12" s="368"/>
      <c r="R12" s="368"/>
      <c r="S12" s="368"/>
      <c r="T12" s="368"/>
      <c r="U12" s="371"/>
      <c r="V12" s="372"/>
      <c r="W12" s="251"/>
    </row>
    <row r="13" spans="1:23" ht="18">
      <c r="A13" s="270">
        <v>1</v>
      </c>
      <c r="B13" s="373" t="s">
        <v>731</v>
      </c>
      <c r="C13" s="373"/>
      <c r="D13" s="373"/>
      <c r="E13" s="373"/>
      <c r="F13" s="271" t="s">
        <v>732</v>
      </c>
      <c r="G13" s="374">
        <v>0.008</v>
      </c>
      <c r="H13" s="374"/>
      <c r="I13" s="272" t="s">
        <v>733</v>
      </c>
      <c r="J13" s="374">
        <v>0.01</v>
      </c>
      <c r="K13" s="374"/>
      <c r="L13" s="373" t="s">
        <v>734</v>
      </c>
      <c r="M13" s="373"/>
      <c r="N13" s="373"/>
      <c r="O13" s="375">
        <v>0.0095</v>
      </c>
      <c r="P13" s="375"/>
      <c r="Q13" s="376" t="s">
        <v>735</v>
      </c>
      <c r="R13" s="376"/>
      <c r="S13" s="376"/>
      <c r="T13" s="376"/>
      <c r="U13" s="376"/>
      <c r="V13" s="376"/>
      <c r="W13" s="251"/>
    </row>
    <row r="14" spans="1:23" ht="18">
      <c r="A14" s="270">
        <v>2</v>
      </c>
      <c r="B14" s="373" t="s">
        <v>736</v>
      </c>
      <c r="C14" s="373"/>
      <c r="D14" s="373"/>
      <c r="E14" s="373"/>
      <c r="F14" s="271" t="s">
        <v>732</v>
      </c>
      <c r="G14" s="374">
        <v>0.0097</v>
      </c>
      <c r="H14" s="374"/>
      <c r="I14" s="272" t="s">
        <v>733</v>
      </c>
      <c r="J14" s="374">
        <v>0.0127</v>
      </c>
      <c r="K14" s="374"/>
      <c r="L14" s="373" t="s">
        <v>737</v>
      </c>
      <c r="M14" s="373"/>
      <c r="N14" s="373"/>
      <c r="O14" s="375">
        <v>0.012</v>
      </c>
      <c r="P14" s="375"/>
      <c r="Q14" s="376"/>
      <c r="R14" s="376"/>
      <c r="S14" s="376"/>
      <c r="T14" s="376"/>
      <c r="U14" s="376"/>
      <c r="V14" s="376"/>
      <c r="W14" s="251"/>
    </row>
    <row r="15" spans="1:23" ht="18">
      <c r="A15" s="270">
        <v>3</v>
      </c>
      <c r="B15" s="373" t="s">
        <v>738</v>
      </c>
      <c r="C15" s="373"/>
      <c r="D15" s="373"/>
      <c r="E15" s="373"/>
      <c r="F15" s="271" t="s">
        <v>732</v>
      </c>
      <c r="G15" s="374">
        <v>0.0059</v>
      </c>
      <c r="H15" s="374"/>
      <c r="I15" s="272" t="s">
        <v>733</v>
      </c>
      <c r="J15" s="374">
        <v>0.0139</v>
      </c>
      <c r="K15" s="374"/>
      <c r="L15" s="373" t="s">
        <v>739</v>
      </c>
      <c r="M15" s="373"/>
      <c r="N15" s="373"/>
      <c r="O15" s="375">
        <v>0.013</v>
      </c>
      <c r="P15" s="375"/>
      <c r="Q15" s="377" t="s">
        <v>740</v>
      </c>
      <c r="R15" s="378"/>
      <c r="S15" s="378"/>
      <c r="T15" s="378"/>
      <c r="U15" s="378"/>
      <c r="V15" s="379"/>
      <c r="W15" s="251"/>
    </row>
    <row r="16" spans="1:23" ht="18">
      <c r="A16" s="270">
        <v>4</v>
      </c>
      <c r="B16" s="373" t="s">
        <v>741</v>
      </c>
      <c r="C16" s="373"/>
      <c r="D16" s="373"/>
      <c r="E16" s="373"/>
      <c r="F16" s="271" t="s">
        <v>732</v>
      </c>
      <c r="G16" s="374">
        <v>0.03</v>
      </c>
      <c r="H16" s="374"/>
      <c r="I16" s="272" t="s">
        <v>733</v>
      </c>
      <c r="J16" s="374">
        <v>0.055</v>
      </c>
      <c r="K16" s="374"/>
      <c r="L16" s="373" t="s">
        <v>742</v>
      </c>
      <c r="M16" s="373"/>
      <c r="N16" s="373"/>
      <c r="O16" s="375">
        <v>0.05</v>
      </c>
      <c r="P16" s="375"/>
      <c r="Q16" s="380"/>
      <c r="R16" s="381"/>
      <c r="S16" s="381"/>
      <c r="T16" s="381"/>
      <c r="U16" s="381"/>
      <c r="V16" s="382"/>
      <c r="W16" s="251"/>
    </row>
    <row r="17" spans="1:23" ht="18">
      <c r="A17" s="270">
        <v>5</v>
      </c>
      <c r="B17" s="373" t="s">
        <v>743</v>
      </c>
      <c r="C17" s="373"/>
      <c r="D17" s="373"/>
      <c r="E17" s="373"/>
      <c r="F17" s="271" t="s">
        <v>732</v>
      </c>
      <c r="G17" s="374">
        <v>0.0616</v>
      </c>
      <c r="H17" s="374"/>
      <c r="I17" s="272" t="s">
        <v>733</v>
      </c>
      <c r="J17" s="374">
        <v>0.0896</v>
      </c>
      <c r="K17" s="374"/>
      <c r="L17" s="373" t="s">
        <v>744</v>
      </c>
      <c r="M17" s="373"/>
      <c r="N17" s="373"/>
      <c r="O17" s="375">
        <v>0.085</v>
      </c>
      <c r="P17" s="375"/>
      <c r="Q17" s="376" t="s">
        <v>745</v>
      </c>
      <c r="R17" s="376"/>
      <c r="S17" s="376"/>
      <c r="T17" s="376"/>
      <c r="U17" s="376"/>
      <c r="V17" s="376"/>
      <c r="W17" s="251"/>
    </row>
    <row r="18" spans="1:23" ht="18">
      <c r="A18" s="270">
        <v>6</v>
      </c>
      <c r="B18" s="373" t="s">
        <v>746</v>
      </c>
      <c r="C18" s="373"/>
      <c r="D18" s="373"/>
      <c r="E18" s="373"/>
      <c r="F18" s="271" t="s">
        <v>732</v>
      </c>
      <c r="G18" s="374">
        <f>G19+G20+G21+O22</f>
        <v>0.0915</v>
      </c>
      <c r="H18" s="374"/>
      <c r="I18" s="272" t="s">
        <v>733</v>
      </c>
      <c r="J18" s="374">
        <f>J19+J20+J21+O22</f>
        <v>0.1115</v>
      </c>
      <c r="K18" s="374"/>
      <c r="L18" s="373" t="s">
        <v>747</v>
      </c>
      <c r="M18" s="373"/>
      <c r="N18" s="373"/>
      <c r="O18" s="375">
        <f>SUM(O19:P22)</f>
        <v>0.10149999999999999</v>
      </c>
      <c r="P18" s="375"/>
      <c r="Q18" s="376"/>
      <c r="R18" s="376"/>
      <c r="S18" s="376"/>
      <c r="T18" s="376"/>
      <c r="U18" s="376"/>
      <c r="V18" s="376"/>
      <c r="W18" s="251"/>
    </row>
    <row r="19" spans="1:23" ht="18">
      <c r="A19" s="270" t="s">
        <v>67</v>
      </c>
      <c r="B19" s="373" t="s">
        <v>748</v>
      </c>
      <c r="C19" s="373"/>
      <c r="D19" s="373"/>
      <c r="E19" s="373"/>
      <c r="F19" s="271" t="s">
        <v>732</v>
      </c>
      <c r="G19" s="374">
        <v>0.0065</v>
      </c>
      <c r="H19" s="374"/>
      <c r="I19" s="272" t="s">
        <v>733</v>
      </c>
      <c r="J19" s="374">
        <v>0.0065</v>
      </c>
      <c r="K19" s="374"/>
      <c r="L19" s="373" t="str">
        <f>B19</f>
        <v>PIS</v>
      </c>
      <c r="M19" s="373"/>
      <c r="N19" s="373"/>
      <c r="O19" s="375">
        <f>(G19+J19)/2</f>
        <v>0.0065</v>
      </c>
      <c r="P19" s="375"/>
      <c r="Q19" s="376"/>
      <c r="R19" s="376"/>
      <c r="S19" s="376"/>
      <c r="T19" s="376"/>
      <c r="U19" s="376"/>
      <c r="V19" s="376"/>
      <c r="W19" s="251"/>
    </row>
    <row r="20" spans="1:23" ht="18">
      <c r="A20" s="270" t="s">
        <v>68</v>
      </c>
      <c r="B20" s="373" t="s">
        <v>749</v>
      </c>
      <c r="C20" s="373"/>
      <c r="D20" s="373"/>
      <c r="E20" s="373"/>
      <c r="F20" s="271" t="s">
        <v>732</v>
      </c>
      <c r="G20" s="374">
        <v>0.03</v>
      </c>
      <c r="H20" s="374"/>
      <c r="I20" s="272" t="s">
        <v>733</v>
      </c>
      <c r="J20" s="374">
        <v>0.03</v>
      </c>
      <c r="K20" s="374"/>
      <c r="L20" s="373" t="str">
        <f>B20</f>
        <v>COFINS</v>
      </c>
      <c r="M20" s="373"/>
      <c r="N20" s="373"/>
      <c r="O20" s="375">
        <f>(G20+J20)/2</f>
        <v>0.03</v>
      </c>
      <c r="P20" s="375"/>
      <c r="Q20" s="376" t="s">
        <v>750</v>
      </c>
      <c r="R20" s="376"/>
      <c r="S20" s="376"/>
      <c r="T20" s="376"/>
      <c r="U20" s="376"/>
      <c r="V20" s="376"/>
      <c r="W20" s="251"/>
    </row>
    <row r="21" spans="1:23" ht="18">
      <c r="A21" s="270" t="s">
        <v>153</v>
      </c>
      <c r="B21" s="373" t="s">
        <v>751</v>
      </c>
      <c r="C21" s="373"/>
      <c r="D21" s="373"/>
      <c r="E21" s="373"/>
      <c r="F21" s="271" t="s">
        <v>732</v>
      </c>
      <c r="G21" s="374">
        <v>0.01</v>
      </c>
      <c r="H21" s="374"/>
      <c r="I21" s="272" t="s">
        <v>733</v>
      </c>
      <c r="J21" s="374">
        <v>0.03</v>
      </c>
      <c r="K21" s="374"/>
      <c r="L21" s="373" t="str">
        <f>B21</f>
        <v>ISS</v>
      </c>
      <c r="M21" s="373"/>
      <c r="N21" s="373"/>
      <c r="O21" s="375">
        <v>0.02</v>
      </c>
      <c r="P21" s="375"/>
      <c r="Q21" s="376"/>
      <c r="R21" s="376"/>
      <c r="S21" s="376"/>
      <c r="T21" s="376"/>
      <c r="U21" s="376"/>
      <c r="V21" s="376"/>
      <c r="W21" s="259"/>
    </row>
    <row r="22" spans="1:23" ht="18">
      <c r="A22" s="270" t="s">
        <v>154</v>
      </c>
      <c r="B22" s="373" t="s">
        <v>752</v>
      </c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5">
        <v>0.045</v>
      </c>
      <c r="P22" s="375"/>
      <c r="Q22" s="376"/>
      <c r="R22" s="376"/>
      <c r="S22" s="376"/>
      <c r="T22" s="376"/>
      <c r="U22" s="376"/>
      <c r="V22" s="376"/>
      <c r="W22" s="259"/>
    </row>
    <row r="23" spans="1:23" ht="18">
      <c r="A23" s="273"/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74"/>
      <c r="P23" s="274"/>
      <c r="Q23" s="275"/>
      <c r="R23" s="275"/>
      <c r="S23" s="275"/>
      <c r="T23" s="275"/>
      <c r="U23" s="275"/>
      <c r="V23" s="275"/>
      <c r="W23" s="259"/>
    </row>
    <row r="24" spans="1:23" ht="18">
      <c r="A24" s="273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74"/>
      <c r="P24" s="274"/>
      <c r="Q24" s="275"/>
      <c r="R24" s="275"/>
      <c r="S24" s="275"/>
      <c r="T24" s="275"/>
      <c r="U24" s="275"/>
      <c r="V24" s="275"/>
      <c r="W24" s="259"/>
    </row>
    <row r="25" spans="1:23" ht="18">
      <c r="A25" s="273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74"/>
      <c r="P25" s="274"/>
      <c r="Q25" s="275"/>
      <c r="R25" s="275"/>
      <c r="S25" s="275"/>
      <c r="T25" s="275"/>
      <c r="U25" s="275"/>
      <c r="V25" s="275"/>
      <c r="W25" s="259"/>
    </row>
    <row r="26" spans="1:23" ht="18">
      <c r="A26" s="273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74"/>
      <c r="P26" s="274"/>
      <c r="Q26" s="275"/>
      <c r="R26" s="275"/>
      <c r="S26" s="275"/>
      <c r="T26" s="275"/>
      <c r="U26" s="275"/>
      <c r="V26" s="275"/>
      <c r="W26" s="259"/>
    </row>
    <row r="27" spans="1:23" ht="15">
      <c r="A27" s="276"/>
      <c r="B27" s="277"/>
      <c r="C27" s="383"/>
      <c r="D27" s="383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5"/>
      <c r="P27" s="385"/>
      <c r="Q27" s="280"/>
      <c r="R27" s="281"/>
      <c r="S27" s="386"/>
      <c r="T27" s="386"/>
      <c r="U27" s="386"/>
      <c r="V27" s="386"/>
      <c r="W27" s="259"/>
    </row>
    <row r="28" spans="1:23" ht="15">
      <c r="A28" s="276"/>
      <c r="B28" s="277"/>
      <c r="C28" s="277"/>
      <c r="D28" s="277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9"/>
      <c r="P28" s="279"/>
      <c r="Q28" s="280"/>
      <c r="R28" s="281"/>
      <c r="S28" s="281"/>
      <c r="T28" s="281"/>
      <c r="U28" s="281"/>
      <c r="V28" s="281"/>
      <c r="W28" s="259"/>
    </row>
    <row r="29" spans="1:23" ht="12.75">
      <c r="A29" s="282"/>
      <c r="B29" s="277"/>
      <c r="C29" s="283"/>
      <c r="D29" s="283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4"/>
      <c r="P29" s="284"/>
      <c r="Q29" s="285"/>
      <c r="R29" s="286"/>
      <c r="S29" s="387"/>
      <c r="T29" s="387"/>
      <c r="U29" s="387"/>
      <c r="V29" s="387"/>
      <c r="W29" s="259"/>
    </row>
    <row r="30" spans="1:23" ht="18">
      <c r="A30" s="282"/>
      <c r="B30" s="277"/>
      <c r="C30" s="277"/>
      <c r="D30" s="277"/>
      <c r="E30" s="288"/>
      <c r="F30" s="288"/>
      <c r="G30" s="289"/>
      <c r="H30" s="290"/>
      <c r="I30" s="289"/>
      <c r="J30" s="291"/>
      <c r="K30" s="291"/>
      <c r="L30" s="291"/>
      <c r="M30" s="288"/>
      <c r="N30" s="288"/>
      <c r="O30" s="292"/>
      <c r="P30" s="292"/>
      <c r="Q30" s="293"/>
      <c r="R30" s="287"/>
      <c r="S30" s="287"/>
      <c r="T30" s="287"/>
      <c r="U30" s="287"/>
      <c r="V30" s="287"/>
      <c r="W30" s="259"/>
    </row>
    <row r="31" spans="1:23" ht="18">
      <c r="A31" s="282"/>
      <c r="B31" s="277"/>
      <c r="C31" s="277"/>
      <c r="D31" s="277"/>
      <c r="E31" s="288"/>
      <c r="F31" s="288"/>
      <c r="G31" s="388" t="s">
        <v>753</v>
      </c>
      <c r="H31" s="388"/>
      <c r="I31" s="388"/>
      <c r="J31" s="388"/>
      <c r="K31" s="388"/>
      <c r="L31" s="388"/>
      <c r="M31" s="389"/>
      <c r="N31" s="389"/>
      <c r="O31" s="389"/>
      <c r="P31" s="292"/>
      <c r="Q31" s="293"/>
      <c r="R31" s="287"/>
      <c r="S31" s="287"/>
      <c r="T31" s="287"/>
      <c r="U31" s="287"/>
      <c r="V31" s="287"/>
      <c r="W31" s="259"/>
    </row>
    <row r="32" spans="1:23" ht="18">
      <c r="A32" s="282"/>
      <c r="B32" s="277"/>
      <c r="C32" s="277"/>
      <c r="D32" s="277"/>
      <c r="E32" s="288"/>
      <c r="F32" s="288"/>
      <c r="G32" s="390" t="s">
        <v>754</v>
      </c>
      <c r="H32" s="390"/>
      <c r="I32" s="390"/>
      <c r="J32" s="390"/>
      <c r="K32" s="390"/>
      <c r="L32" s="390"/>
      <c r="M32" s="391"/>
      <c r="N32" s="391"/>
      <c r="O32" s="391"/>
      <c r="P32" s="292"/>
      <c r="Q32" s="293"/>
      <c r="R32" s="287"/>
      <c r="S32" s="287"/>
      <c r="T32" s="287"/>
      <c r="U32" s="287"/>
      <c r="V32" s="287"/>
      <c r="W32" s="259"/>
    </row>
    <row r="33" spans="1:23" ht="18">
      <c r="A33" s="282"/>
      <c r="B33" s="277"/>
      <c r="C33" s="283"/>
      <c r="D33" s="283"/>
      <c r="E33" s="294"/>
      <c r="F33" s="294"/>
      <c r="G33" s="390" t="s">
        <v>755</v>
      </c>
      <c r="H33" s="390"/>
      <c r="I33" s="390"/>
      <c r="J33" s="390"/>
      <c r="K33" s="390"/>
      <c r="L33" s="390"/>
      <c r="M33" s="391"/>
      <c r="N33" s="391"/>
      <c r="O33" s="391"/>
      <c r="P33" s="284"/>
      <c r="Q33" s="285"/>
      <c r="R33" s="286"/>
      <c r="S33" s="387"/>
      <c r="T33" s="387"/>
      <c r="U33" s="392"/>
      <c r="V33" s="392"/>
      <c r="W33" s="259"/>
    </row>
    <row r="34" spans="1:23" ht="18">
      <c r="A34" s="295"/>
      <c r="B34" s="277"/>
      <c r="C34" s="247"/>
      <c r="D34" s="296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84"/>
      <c r="P34" s="284"/>
      <c r="Q34" s="285"/>
      <c r="R34" s="286"/>
      <c r="S34" s="387"/>
      <c r="T34" s="387"/>
      <c r="U34" s="387"/>
      <c r="V34" s="387"/>
      <c r="W34" s="259"/>
    </row>
  </sheetData>
  <sheetProtection/>
  <mergeCells count="78">
    <mergeCell ref="S34:T34"/>
    <mergeCell ref="U34:V34"/>
    <mergeCell ref="G32:L32"/>
    <mergeCell ref="M32:O32"/>
    <mergeCell ref="G33:L33"/>
    <mergeCell ref="M33:O33"/>
    <mergeCell ref="S33:T33"/>
    <mergeCell ref="U33:V33"/>
    <mergeCell ref="S27:T27"/>
    <mergeCell ref="U27:V27"/>
    <mergeCell ref="S29:T29"/>
    <mergeCell ref="U29:V29"/>
    <mergeCell ref="G31:L31"/>
    <mergeCell ref="M31:O31"/>
    <mergeCell ref="O21:P21"/>
    <mergeCell ref="B22:N22"/>
    <mergeCell ref="O22:P22"/>
    <mergeCell ref="C27:D27"/>
    <mergeCell ref="E27:N27"/>
    <mergeCell ref="O27:P27"/>
    <mergeCell ref="B20:E20"/>
    <mergeCell ref="G20:H20"/>
    <mergeCell ref="J20:K20"/>
    <mergeCell ref="L20:N20"/>
    <mergeCell ref="O20:P20"/>
    <mergeCell ref="Q20:V22"/>
    <mergeCell ref="B21:E21"/>
    <mergeCell ref="G21:H21"/>
    <mergeCell ref="J21:K21"/>
    <mergeCell ref="L21:N21"/>
    <mergeCell ref="O18:P18"/>
    <mergeCell ref="B19:E19"/>
    <mergeCell ref="G19:H19"/>
    <mergeCell ref="J19:K19"/>
    <mergeCell ref="L19:N19"/>
    <mergeCell ref="O19:P19"/>
    <mergeCell ref="B17:E17"/>
    <mergeCell ref="G17:H17"/>
    <mergeCell ref="J17:K17"/>
    <mergeCell ref="L17:N17"/>
    <mergeCell ref="O17:P17"/>
    <mergeCell ref="Q17:V19"/>
    <mergeCell ref="B18:E18"/>
    <mergeCell ref="G18:H18"/>
    <mergeCell ref="J18:K18"/>
    <mergeCell ref="L18:N18"/>
    <mergeCell ref="Q15:V16"/>
    <mergeCell ref="B16:E16"/>
    <mergeCell ref="G16:H16"/>
    <mergeCell ref="J16:K16"/>
    <mergeCell ref="L16:N16"/>
    <mergeCell ref="O16:P16"/>
    <mergeCell ref="O14:P14"/>
    <mergeCell ref="B15:E15"/>
    <mergeCell ref="G15:H15"/>
    <mergeCell ref="J15:K15"/>
    <mergeCell ref="L15:N15"/>
    <mergeCell ref="O15:P15"/>
    <mergeCell ref="B13:E13"/>
    <mergeCell ref="G13:H13"/>
    <mergeCell ref="J13:K13"/>
    <mergeCell ref="L13:N13"/>
    <mergeCell ref="O13:P13"/>
    <mergeCell ref="Q13:V14"/>
    <mergeCell ref="B14:E14"/>
    <mergeCell ref="G14:H14"/>
    <mergeCell ref="J14:K14"/>
    <mergeCell ref="L14:N14"/>
    <mergeCell ref="A2:V3"/>
    <mergeCell ref="A6:Q6"/>
    <mergeCell ref="R6:V6"/>
    <mergeCell ref="A9:O9"/>
    <mergeCell ref="P9:V9"/>
    <mergeCell ref="A11:E12"/>
    <mergeCell ref="F11:K12"/>
    <mergeCell ref="L11:P12"/>
    <mergeCell ref="Q11:T12"/>
    <mergeCell ref="U11:V12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</dc:creator>
  <cp:keywords/>
  <dc:description/>
  <cp:lastModifiedBy>Matheus Gabe Viana Barros</cp:lastModifiedBy>
  <cp:lastPrinted>2018-07-20T17:32:18Z</cp:lastPrinted>
  <dcterms:created xsi:type="dcterms:W3CDTF">1999-09-01T18:42:57Z</dcterms:created>
  <dcterms:modified xsi:type="dcterms:W3CDTF">2018-07-20T17:32:25Z</dcterms:modified>
  <cp:category/>
  <cp:version/>
  <cp:contentType/>
  <cp:contentStatus/>
</cp:coreProperties>
</file>