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7" activeTab="0"/>
  </bookViews>
  <sheets>
    <sheet name="Planilha Orçamentária SAE" sheetId="1" r:id="rId1"/>
    <sheet name="Plan1" sheetId="2" r:id="rId2"/>
    <sheet name="COMPOSIÇÕES" sheetId="3" r:id="rId3"/>
    <sheet name="Composição BDI fornecimento" sheetId="4" r:id="rId4"/>
    <sheet name="Composição BDI serviços" sheetId="5" r:id="rId5"/>
  </sheets>
  <definedNames>
    <definedName name="_xlnm.Print_Area" localSheetId="0">'Planilha Orçamentária SAE'!$A$1:$R$47</definedName>
    <definedName name="_xlnm.Print_Titles" localSheetId="0">'Planilha Orçamentária SAE'!$1:$10</definedName>
    <definedName name="Print_Titles_0" localSheetId="0">'Planilha Orçamentária SAE'!$1:$10</definedName>
    <definedName name="_xlnm_Print_Titles" localSheetId="0">'Planilha Orçamentária SAE'!$1:$10</definedName>
    <definedName name="_xlnm_Print_Titles_0" localSheetId="0">'Planilha Orçamentária SAE'!$1:$10</definedName>
  </definedNames>
  <calcPr fullCalcOnLoad="1"/>
</workbook>
</file>

<file path=xl/sharedStrings.xml><?xml version="1.0" encoding="utf-8"?>
<sst xmlns="http://schemas.openxmlformats.org/spreadsheetml/2006/main" count="316" uniqueCount="184">
  <si>
    <t>SUPERINTENDENCIA DE ÁGUA E ESGOTOS DE ITUIUTABA</t>
  </si>
  <si>
    <t>N° do CT : 0424.335-06 /2014</t>
  </si>
  <si>
    <t>Investimento: R$ 13.980.260,14</t>
  </si>
  <si>
    <t>CT – Programa: Saneamento Para Todos</t>
  </si>
  <si>
    <t>Data: 28/09/2018</t>
  </si>
  <si>
    <t>Financiamento: R$ 12.582.234,13</t>
  </si>
  <si>
    <t>Tomador: SAE DE ITUIUTABA</t>
  </si>
  <si>
    <t>Contrapartida: R$ 1.398.026,01</t>
  </si>
  <si>
    <t>Agente Operador do Financiamento: CAIXA ECONÔMICA FEDERAL</t>
  </si>
  <si>
    <t>Fonte de Recursos: FGTS</t>
  </si>
  <si>
    <r>
      <rPr>
        <sz val="9"/>
        <rFont val="Arial"/>
        <family val="2"/>
      </rPr>
      <t>CT -Modalidade:</t>
    </r>
    <r>
      <rPr>
        <b/>
        <sz val="9"/>
        <rFont val="Arial"/>
        <family val="2"/>
      </rPr>
      <t>Ampliação do Sistema de Abastecimento de Água da cidade de Ituiutaba</t>
    </r>
  </si>
  <si>
    <t>SINAPI, Mercado</t>
  </si>
  <si>
    <t>REFERÊNCIA: jul/2018</t>
  </si>
  <si>
    <t>BDI FORN.</t>
  </si>
  <si>
    <t>BDI SERV.</t>
  </si>
  <si>
    <t>ITEM</t>
  </si>
  <si>
    <t>DESCRIÇÃO DO ITEM QUANTID.</t>
  </si>
  <si>
    <t>QUANTID.</t>
  </si>
  <si>
    <t>UNIDADE</t>
  </si>
  <si>
    <t>CUSTO (R$)</t>
  </si>
  <si>
    <t>TOTAL</t>
  </si>
  <si>
    <t>SINAPI, SETOP, COTAÇÃO OU COMPOSIÇÃO</t>
  </si>
  <si>
    <t>UNIT. S/ BDI</t>
  </si>
  <si>
    <t>BDI</t>
  </si>
  <si>
    <t>UNIT. C/ BDI</t>
  </si>
  <si>
    <t xml:space="preserve">SERVIÇOS PRELIMINARES E MOBILIZAÇÃO </t>
  </si>
  <si>
    <t>-</t>
  </si>
  <si>
    <t>1.1</t>
  </si>
  <si>
    <t>PLACA DE OBRA EM CHAPA DE ACO GALVANIZADO</t>
  </si>
  <si>
    <t>M2</t>
  </si>
  <si>
    <t>74209/1</t>
  </si>
  <si>
    <t>1.2</t>
  </si>
  <si>
    <t>BARRACÃO DE OBRAS EM CHAPA DE MADEIRA, COBERTURA EM FIBROCIMENTO, COM AS SEGUINTES ÁREAS MÍNIMAS: ESCRITÓRIO FISCALIZAÇÃO E CONTRATADA 1 CONTAINER, VESTIARIO 10 M², INSTALAÇÕES SANITÁRIAS 5M², REFEITORIO 10M², ALMOXARIFADO 10 M²</t>
  </si>
  <si>
    <t>UNID.</t>
  </si>
  <si>
    <t>CC1</t>
  </si>
  <si>
    <t>ADUTORA PARA ABASTECER EEAT 4</t>
  </si>
  <si>
    <t>2.1</t>
  </si>
  <si>
    <t>LOCAÇÃO DE ADUTORAS, COLETORES TRONCO E INTERCEPTORES - ATÉ DN 500 MM</t>
  </si>
  <si>
    <t>M</t>
  </si>
  <si>
    <t>2.2</t>
  </si>
  <si>
    <t>CORTE DE PAVIMENTO DE CONCRETO ASFALTICO PARA ESCAVAÇÃO DE VALA COM CORTADORA TIPO "MAQUITÃO"</t>
  </si>
  <si>
    <t>M²</t>
  </si>
  <si>
    <t>CC2</t>
  </si>
  <si>
    <t>2.3</t>
  </si>
  <si>
    <t>ESCAVAÇÃO MECANIZADA DE VALA COM PROF. ATÉ 1,5 M (MÉDIA ENTRE MONTANTE E JUSANTE/UMA COMPOSIÇÃO POR TRECHO), COM RETROESCAVADEIRA (0,26 M3/88 HP), LARG. DE 0,8 M A 1,5 M, EM SOLO DE 1A CATEGORIA, EM LOCAIS COM ALTO NÍVEL DE INTERFERÊNCIA. AF_01/2015</t>
  </si>
  <si>
    <t>M3</t>
  </si>
  <si>
    <t>2.4</t>
  </si>
  <si>
    <r>
      <rPr>
        <sz val="9"/>
        <rFont val="Arial"/>
        <family val="2"/>
      </rPr>
      <t>ESCAVAÇ</t>
    </r>
    <r>
      <rPr>
        <sz val="10"/>
        <color indexed="8"/>
        <rFont val="Arial"/>
        <family val="2"/>
      </rPr>
      <t>ÃO MECANIZADA DE VALA COM PROF. MAIOR QUE 1,5 M ATÉ 3,0 M (MÉDIA ENTRE MONTANTE E JUSANTE/UMA COMPOSIÇÃO POR TRECHO), COM ESCAVADEIRA HIDRÁULICA (0,8 M3/111 HP), LARGURA ATÉ 1,5 M, EM SOLO DE 1A CATEGORIA, EM LOCAIS COM ALTO NÍVEL DE INTERFERÊNCIA. AF_01/2015</t>
    </r>
  </si>
  <si>
    <t>2.5</t>
  </si>
  <si>
    <r>
      <rPr>
        <sz val="9"/>
        <rFont val="Arial"/>
        <family val="2"/>
      </rPr>
      <t>ESCAVAÇ</t>
    </r>
    <r>
      <rPr>
        <sz val="10"/>
        <color indexed="8"/>
        <rFont val="Arial"/>
        <family val="2"/>
      </rPr>
      <t>ÃO MECANIZADA DE VALA COM PROF. MAIOR QUE 3,0 M ATÉ 4,5 M (MÉDIA ENTRE MONTANTE E JUSANTE/UMA COMPOSIÇÃO POR TRECHO), COM ESCAVADEIRA HIDRÁULICA (0,8 M3/111 HP), LARGURA  ATÉ 1,5 M, EM SOLO DE 1A CATEGORIA, EM LOCAIS COM ALTO NÍVEL DE INTERFERÊNCIA. AF_01/2015</t>
    </r>
  </si>
  <si>
    <t>2.6</t>
  </si>
  <si>
    <t>ESCORAMENTO DE VALA, TIPO PONTALETEAMENTO, COM PROFUNDIDADE DE 0 A 1,5 M, LARGURA MENOR QUE 1,5 M, EM LOCAL COM NÍVEL ALTO DE INTERFERÊNCIA. AF_06/2016</t>
  </si>
  <si>
    <t>2.7</t>
  </si>
  <si>
    <t>ESCORAMENTO DE VALA, TIPO PONTALETEAMENTO, COM PROFUNDIDADE DE 1,5 A 3,0 M, LARGURA MENOR QUE 1,5 M, EM LOCAL COM NÍVEL ALTO DE INTERFERÊNCIA. AF_06/2016</t>
  </si>
  <si>
    <t>2.8</t>
  </si>
  <si>
    <t>ESCORAMENTO DE VALA, TIPO PONTALETEAMENTO, COM PROFUNDIDADE DE 3,0 A 4,5 M, LARGURA MENOR QUE 1,5 M, EM LOCAL COM NÍVEL ALTO DE INTERFERÊNCIA. AF_06/2016</t>
  </si>
  <si>
    <t>2.9</t>
  </si>
  <si>
    <t>LASTRO DE VALA COM PREPARO DE FUNDO, LARGURA MENOR QUE 1,5 M, COM CAMADA DE AREIA, LANÇAMENTO MANUAL, EM LOCAL COM NÍVEL ALTO DE INTERFERÊNCIA. AF_06/2016</t>
  </si>
  <si>
    <t>2.10</t>
  </si>
  <si>
    <t>REATERRO MANUAL APILOADO COM SOQUETE. AF_10/2017</t>
  </si>
  <si>
    <t>2.11</t>
  </si>
  <si>
    <t>REATERRO MECANIZADO DE VALA COM RETROESCAVADEIRA (CAPACIDADE DA CAÇAMBA DA RETRO: 0,26 M³ / POTÊNCIA: 88 HP), LARGURA DE 0,8 A 1,5 M, PROFUNDIDADE ATÉ 1,5 M, COM SOLO (SEM SUBSTITUIÇÃO) DE 1ª CATEGORIA EM LOCAIS COM ALTO NÍVEL DE INTERFERÊNCIA. AF_04/2016</t>
  </si>
  <si>
    <t>2.12</t>
  </si>
  <si>
    <t>REATERRO MECANIZADO DE VALA COM RETROESCAVADEIRA (CAPACIDADE DA CAÇAMBA DA RETRO: 0,26 M³ / POTÊNCIA: 88 HP), LARGURA DE 0,8 A 1,5 M, PROFUNDIDADE DE 1,5 A 3,0 M, COM SOLO (SEM SUBSTITUIÇÃO) DE 1ª CATEGORIA EM LOCAIS COM ALTO NÍVEL DE INTERFERÊNCIA. AF_04/2016</t>
  </si>
  <si>
    <t>2.13</t>
  </si>
  <si>
    <t>REATERRO MECANIZADO DE VALA COM RETROESCAVADEIRA (CAPACIDADE DA CAÇAMBA DA RETRO: 0,26 M³ / POTÊNCIA: 88 HP), LARGURA  ATÉ 1,5 M, PROFUNDIDADE DE 3,0 A 4,5 M, COM SOLO (SEM SUBSTITUIÇÃO) DE 1ª CATEGORIA EM LOCAIS COM ALTO NÍVEL DE INTERFERÊNCIA. AF_04/2016</t>
  </si>
  <si>
    <t>2.14</t>
  </si>
  <si>
    <t>UMIDIFICAÇÃO DE MATERIAL PARA VALAS COM CAMINHÃO PIPA 10000L. AF_11/2016</t>
  </si>
  <si>
    <t>2.15</t>
  </si>
  <si>
    <t>COMPACTACAO MECANICA, SEM CONTROLE DO GC (C/COMPACTADOR PLACA 400 KG)</t>
  </si>
  <si>
    <t>74005/1</t>
  </si>
  <si>
    <t>2.16</t>
  </si>
  <si>
    <t>CARGA, MANOBRAS E DESCARGA DE AREIA, BRITA, PEDRA DE MAO E SOLOS COM CAMINHAO BASCULANTE 6 M3 (DESCARGA LIVRE)</t>
  </si>
  <si>
    <t>2.17</t>
  </si>
  <si>
    <t>ESPALHAMENTO DE MATERIAL EM BOTA FORA, COM UTILIZACAO DE TRATOR DE ESTEIRAS DE 165 HP</t>
  </si>
  <si>
    <t>2.18</t>
  </si>
  <si>
    <t>TUBO PVC DEFOFO, JEI, 1 MPA, DN 200 MM, PARA REDE DE AGUA (NBR 7665)</t>
  </si>
  <si>
    <t xml:space="preserve">M     </t>
  </si>
  <si>
    <t>2.19</t>
  </si>
  <si>
    <t>ASSENTAMENTO DE TUBO DE PVC DEFOFO OU PRFV OU RPVC PARA REDE DE ÁGUA, DN 200 MM, JUNTA ELÁSTICA INTEGRADA, INSTALADO EM LOCAL COM NÍVEL ALTO DE INTERFERÊNCIAS (NÃO INCLUI FORNECIMENTO). AF_11/2017</t>
  </si>
  <si>
    <t>CARGA, MANOBRAS E DESCARGA DE MATERIAIS DIVERSOS, COM CAMINHAO CARROCERIA 9T (CARGA E DESCARGA MANUAIS)</t>
  </si>
  <si>
    <t>T</t>
  </si>
  <si>
    <t>2.21</t>
  </si>
  <si>
    <t>ASSENTAMENTO DE PECAS, CONEXOES, APARELHOS E ACESSORIOS DE FERRO FUNDIDO DUCTIL, JUNTA ELASTICA, MECANICA OU FLANGEADA, COM DIAMETROS DE 50 A 300 MM.</t>
  </si>
  <si>
    <t>KG</t>
  </si>
  <si>
    <t>2.22</t>
  </si>
  <si>
    <t>TRANSPORTE COMERCIAL DE BRITA</t>
  </si>
  <si>
    <t>M3XKM</t>
  </si>
  <si>
    <t>2.23</t>
  </si>
  <si>
    <t>EXECUÇÃO E COMPACTAÇÃO DE BASE E OU SUB BASE COM BRITA GRADUADA SIMPLES - EXCLUSIVE CARGA E TRANSPORTE. AF_09/2017</t>
  </si>
  <si>
    <t>2.24</t>
  </si>
  <si>
    <t>EXECUÇÃO DE IMPRIMAÇÃO LIGANTE COM EMULSÃO ASFÁLTICA RR-2C. AF_09/2017</t>
  </si>
  <si>
    <t>2.25</t>
  </si>
  <si>
    <t>PINTURA DE LIGACAO COM EMULSAO RR-2C</t>
  </si>
  <si>
    <t>2.26</t>
  </si>
  <si>
    <t>CONSTRUÇÃO DE PAVIMENTO COM APLICAÇÃO DE CONCRETO BETUMINOSO USINADO A QUENTE (CBUQ), CAMADA DE ROLAMENTO, COM ESPESSURA DE 5,0 CM - EXCLUSIVE TRANSPORTE. AF_03/2017</t>
  </si>
  <si>
    <t>2.27</t>
  </si>
  <si>
    <t>TRANSPORTE COM CAMINHÃO BASCULANTE DE 10 M3, EM VIA URBANA PAVIMENTADA, DMT ATÉ 30 KM (UNIDADE: M3XKM). AF_12/2016</t>
  </si>
  <si>
    <t>ADMINISTRAÇÃO LOCAL DA OBRA</t>
  </si>
  <si>
    <t xml:space="preserve">Percentual da Obra:  </t>
  </si>
  <si>
    <t>3.1</t>
  </si>
  <si>
    <t>ENCARREGADO GERAL COM ENCARGOS COMPLEMENTARES</t>
  </si>
  <si>
    <t>H</t>
  </si>
  <si>
    <t>3.2</t>
  </si>
  <si>
    <t>ENGENHEIRO CIVIL DE OBRA PLENO COM ENCARGOS COMPLEMENTARES</t>
  </si>
  <si>
    <t>3.3</t>
  </si>
  <si>
    <t>TOPOGRAFO COM ENCARGOS COMPLEMENTARES</t>
  </si>
  <si>
    <t>3.4</t>
  </si>
  <si>
    <t>AUXILIAR DE TOPÓGRAFO COM ENCARGOS COMPLEMENTARES</t>
  </si>
  <si>
    <t>TOTAL com BDI =</t>
  </si>
  <si>
    <t>DESCRIÇÃO</t>
  </si>
  <si>
    <t>QUANTIDADE</t>
  </si>
  <si>
    <t>VALOR</t>
  </si>
  <si>
    <t>CURVA 90° FOFO BOLSAS JGS DN 200</t>
  </si>
  <si>
    <t>CURVA 45° FOFO BOLSAS JGS DN 200</t>
  </si>
  <si>
    <t>CURVA 22,5° FOFO BOLSAS JGS DN 20</t>
  </si>
  <si>
    <t>CURVA 90° FOFO COM FLANGES PN10</t>
  </si>
  <si>
    <t>CURVA 45º FOFO COM FLANGES PN10</t>
  </si>
  <si>
    <t>COMPOSIÇÕES</t>
  </si>
  <si>
    <t>ADUTORA DE 200 mm</t>
  </si>
  <si>
    <t>PREÇO REFERENCIAL</t>
  </si>
  <si>
    <t>CÓDIGO</t>
  </si>
  <si>
    <t>DESCRIÇÃO DO SERVIÇO OU FORNECIMENTO</t>
  </si>
  <si>
    <t>DATA BASE</t>
  </si>
  <si>
    <t>FONTE</t>
  </si>
  <si>
    <t>CUSTO TOTAL</t>
  </si>
  <si>
    <t>SINAPI</t>
  </si>
  <si>
    <t>DESCRIÇÃO DO INSUMO</t>
  </si>
  <si>
    <t>COEFICIENTE</t>
  </si>
  <si>
    <t>CUSTO UNITÁRIO</t>
  </si>
  <si>
    <t>73847/1</t>
  </si>
  <si>
    <t>ALUGUEL CONTAINER/ESCRIT INCL INST ELET LARG=2,20 COMP=6,20M          ALT=2,50M CHAPA ACO C/NERV TRAPEZ FORRO C/ISOL TERMO/ACUSTICO         CHASSIS REFORC PISO COMPENS NAVAL EXC TRANSP/CARGA/DESCARGA</t>
  </si>
  <si>
    <t>MES</t>
  </si>
  <si>
    <t>EXECUÇÃO DE SANITÁRIO E VESTIÁRIO EM CANTEIRO DE OBRA EM CHAPA DE MADEIRA COMPENSADA, NÃO INCLUSO MOBILIÁRIO. AF_02/2016</t>
  </si>
  <si>
    <t>EXECUÇÃO DE REFEITÓRIO EM CANTEIRO DE OBRA EM CHAPA DE MADEIRA COMPENSADA, NÃO INCLUSO MOBILIÁRIO E EQUIPAMENTOS. AF_02/2016</t>
  </si>
  <si>
    <t>EXECUÇÃO DE ALMOXARIFADO EM CANTEIRO DE OBRA EM CHAPA DE MADEIRA COMPENSADA, INCLUSO PRATELEIRAS. AF_02/2016</t>
  </si>
  <si>
    <t>CORTADORA DE PISO COM MOTOR 4 TEMPOS A GASOLINA, POTÊNCIA DE 13 HP, COM DISCO DE CORTE DIAMANTADO SEGMENTADO PARA CONCRETO, DIÂMETRO DE 350MM, FURO DE 1" (14 X 1") - CHP DIURNO. AF_08/2015</t>
  </si>
  <si>
    <t>CHP</t>
  </si>
  <si>
    <t>SERVENTE COM ENCARGOS COMPLEMENTARES</t>
  </si>
  <si>
    <t>PLANILHA DE COMPOSIÇÃO DE BDI - FORNECIMENTO</t>
  </si>
  <si>
    <t>Proponente</t>
  </si>
  <si>
    <t>Orgão Financiador</t>
  </si>
  <si>
    <t>PREFEITURA MUNICIPAL DE ITUIUTABA</t>
  </si>
  <si>
    <t>CAIXA FGTS</t>
  </si>
  <si>
    <t xml:space="preserve">Empreendimento </t>
  </si>
  <si>
    <t>Município</t>
  </si>
  <si>
    <t>SAE ITUIUTABA/MG - CONSTRUÇÃO DE ADUTORA DE ÁGUA TRATADA DA ETA ATÉ A ELEVATÓRIA DE ÁGUA LOCALIZADA PROXIMO AO CAMPUS DA UFU</t>
  </si>
  <si>
    <t>ITUIUTABA/MG</t>
  </si>
  <si>
    <r>
      <rPr>
        <sz val="15"/>
        <rFont val="Arial"/>
        <family val="2"/>
      </rPr>
      <t>Regime de execução das obras:</t>
    </r>
    <r>
      <rPr>
        <b/>
        <sz val="15"/>
        <rFont val="Arial"/>
        <family val="2"/>
      </rPr>
      <t xml:space="preserve"> EMPREITADA POR PREÇOS UNITÁRIOS</t>
    </r>
  </si>
  <si>
    <t>Composição do BDI sugerida</t>
  </si>
  <si>
    <t>Intervalos admissíveis sem justificativa</t>
  </si>
  <si>
    <t>Composição de BDI Adotada</t>
  </si>
  <si>
    <t>BDI Proposto:</t>
  </si>
  <si>
    <t>Garantia e Seguro (GS)</t>
  </si>
  <si>
    <t xml:space="preserve">De </t>
  </si>
  <si>
    <t>até</t>
  </si>
  <si>
    <t xml:space="preserve">  Garantia:</t>
  </si>
  <si>
    <t>BDI=((1+Ac+R+GS)×(1+Df)×(1+L))/((1-I))</t>
  </si>
  <si>
    <t xml:space="preserve">Risco (R) </t>
  </si>
  <si>
    <t xml:space="preserve">  Risco:</t>
  </si>
  <si>
    <t>Despesas financeiras (Df)</t>
  </si>
  <si>
    <t xml:space="preserve">  Despesas financeiras:</t>
  </si>
  <si>
    <t>Administração Central (Ac)</t>
  </si>
  <si>
    <t xml:space="preserve">  Administração central:</t>
  </si>
  <si>
    <t xml:space="preserve"> Observações:</t>
  </si>
  <si>
    <t>Lucro (L)</t>
  </si>
  <si>
    <t xml:space="preserve">  Lucro:</t>
  </si>
  <si>
    <t>i) Composição do BDI, intervalos admissíveis e fórmula de cálculo nos termos do Acórdão 2622/2013 do TCU.</t>
  </si>
  <si>
    <t>Impostos (I)</t>
  </si>
  <si>
    <t xml:space="preserve">  Tributos:</t>
  </si>
  <si>
    <t>6.1</t>
  </si>
  <si>
    <t>PIS</t>
  </si>
  <si>
    <t>6.2</t>
  </si>
  <si>
    <t>COFINS</t>
  </si>
  <si>
    <t>ii) Tributos adotados =   PIS + CONFINS+ ISS+CPRB</t>
  </si>
  <si>
    <t>6.3</t>
  </si>
  <si>
    <t>ISS</t>
  </si>
  <si>
    <t>6.4</t>
  </si>
  <si>
    <t>CPRB - Lei 12.546/11</t>
  </si>
  <si>
    <t>Matheus Gabe Viana Barros</t>
  </si>
  <si>
    <t xml:space="preserve">Eng. Civil </t>
  </si>
  <si>
    <t>CREA 1015027237D-GO</t>
  </si>
  <si>
    <t>PLANILHA DE COMPOSIÇÃO DE BDI - SERVIÇOS</t>
  </si>
  <si>
    <r>
      <rPr>
        <sz val="15"/>
        <rFont val="Arial"/>
        <family val="2"/>
      </rPr>
      <t>Regime de execução das obras:</t>
    </r>
    <r>
      <rPr>
        <b/>
        <sz val="15"/>
        <rFont val="Arial"/>
        <family val="2"/>
      </rPr>
      <t>EMPREITADA GLOBAL</t>
    </r>
  </si>
</sst>
</file>

<file path=xl/styles.xml><?xml version="1.0" encoding="utf-8"?>
<styleSheet xmlns="http://schemas.openxmlformats.org/spreadsheetml/2006/main">
  <numFmts count="14">
    <numFmt numFmtId="164" formatCode="General"/>
    <numFmt numFmtId="165" formatCode="#,##0.00"/>
    <numFmt numFmtId="166" formatCode="0%"/>
    <numFmt numFmtId="167" formatCode="0.00%"/>
    <numFmt numFmtId="168" formatCode="&quot; R$&quot;* #,##0.00\ ;&quot;-R$&quot;* #,##0.00\ ;&quot; R$&quot;* \-#\ ;@\ "/>
    <numFmt numFmtId="169" formatCode="#,##0\ ;\(#,##0\)"/>
    <numFmt numFmtId="170" formatCode="* #,##0.00\ ;* \(#,##0.00\);* \-#\ ;@\ "/>
    <numFmt numFmtId="171" formatCode="* #,##0.0000\ ;* \(#,##0.0000\);* \-#\ ;@\ "/>
    <numFmt numFmtId="172" formatCode="_(* #,##0.00_);_(* \(#,##0.00\);_(* \-??_);_(@_)"/>
    <numFmt numFmtId="173" formatCode="_-* #,##0.00_-;\-* #,##0.00_-;_-* \-??_-;_-@_-"/>
    <numFmt numFmtId="174" formatCode="0.00"/>
    <numFmt numFmtId="175" formatCode="MM/YY"/>
    <numFmt numFmtId="176" formatCode="&quot;R$ &quot;#,##0.00"/>
    <numFmt numFmtId="177" formatCode="@"/>
  </numFmts>
  <fonts count="20">
    <font>
      <sz val="10"/>
      <name val="Arial"/>
      <family val="2"/>
    </font>
    <font>
      <b/>
      <i/>
      <sz val="20"/>
      <color indexed="48"/>
      <name val="Arial"/>
      <family val="2"/>
    </font>
    <font>
      <b/>
      <sz val="12"/>
      <name val="Arial"/>
      <family val="2"/>
    </font>
    <font>
      <sz val="9"/>
      <name val="Arial"/>
      <family val="2"/>
    </font>
    <font>
      <sz val="4"/>
      <name val="Arial"/>
      <family val="2"/>
    </font>
    <font>
      <b/>
      <sz val="9"/>
      <name val="Arial"/>
      <family val="2"/>
    </font>
    <font>
      <b/>
      <sz val="10"/>
      <name val="Arial"/>
      <family val="2"/>
    </font>
    <font>
      <sz val="10"/>
      <name val="Mangal"/>
      <family val="2"/>
    </font>
    <font>
      <b/>
      <sz val="11"/>
      <name val="Arial"/>
      <family val="2"/>
    </font>
    <font>
      <i/>
      <sz val="9"/>
      <name val="Arial"/>
      <family val="2"/>
    </font>
    <font>
      <sz val="10"/>
      <color indexed="8"/>
      <name val="Arial"/>
      <family val="2"/>
    </font>
    <font>
      <b/>
      <sz val="8"/>
      <color indexed="8"/>
      <name val="Calibri"/>
      <family val="2"/>
    </font>
    <font>
      <sz val="8"/>
      <color indexed="8"/>
      <name val="Calibri"/>
      <family val="2"/>
    </font>
    <font>
      <sz val="15"/>
      <name val="Arial"/>
      <family val="2"/>
    </font>
    <font>
      <b/>
      <sz val="18"/>
      <name val="Arial"/>
      <family val="2"/>
    </font>
    <font>
      <b/>
      <sz val="15"/>
      <name val="Arial"/>
      <family val="2"/>
    </font>
    <font>
      <b/>
      <sz val="15"/>
      <color indexed="9"/>
      <name val="Arial"/>
      <family val="2"/>
    </font>
    <font>
      <b/>
      <sz val="15"/>
      <color indexed="8"/>
      <name val="Arial"/>
      <family val="2"/>
    </font>
    <font>
      <sz val="12"/>
      <name val="Arial"/>
      <family val="2"/>
    </font>
    <font>
      <sz val="14"/>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13"/>
        <bgColor indexed="64"/>
      </patternFill>
    </fill>
    <fill>
      <patternFill patternType="solid">
        <fgColor indexed="43"/>
        <bgColor indexed="64"/>
      </patternFill>
    </fill>
    <fill>
      <patternFill patternType="solid">
        <fgColor indexed="19"/>
        <bgColor indexed="64"/>
      </patternFill>
    </fill>
  </fills>
  <borders count="45">
    <border>
      <left/>
      <right/>
      <top/>
      <bottom/>
      <diagonal/>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style="thin">
        <color indexed="8"/>
      </top>
      <bottom style="hair">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medium">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style="thin">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Border="0" applyProtection="0">
      <alignment/>
    </xf>
    <xf numFmtId="41" fontId="0" fillId="0" borderId="0" applyFill="0" applyBorder="0" applyAlignment="0" applyProtection="0"/>
    <xf numFmtId="168" fontId="7" fillId="0" borderId="0" applyBorder="0" applyProtection="0">
      <alignment/>
    </xf>
    <xf numFmtId="42" fontId="0" fillId="0" borderId="0" applyFill="0" applyBorder="0" applyAlignment="0" applyProtection="0"/>
    <xf numFmtId="166" fontId="0" fillId="0" borderId="0" applyBorder="0" applyProtection="0">
      <alignment/>
    </xf>
    <xf numFmtId="164" fontId="0" fillId="0" borderId="0">
      <alignment/>
      <protection/>
    </xf>
  </cellStyleXfs>
  <cellXfs count="188">
    <xf numFmtId="164" fontId="0" fillId="0" borderId="0" xfId="0" applyAlignment="1">
      <alignment/>
    </xf>
    <xf numFmtId="164" fontId="1" fillId="0" borderId="1" xfId="0" applyFont="1" applyBorder="1" applyAlignment="1">
      <alignment horizontal="center" vertical="center"/>
    </xf>
    <xf numFmtId="164" fontId="2" fillId="0" borderId="0" xfId="0" applyFont="1" applyBorder="1" applyAlignment="1">
      <alignment horizontal="center" vertical="center"/>
    </xf>
    <xf numFmtId="164" fontId="3" fillId="0" borderId="0" xfId="0" applyFont="1" applyBorder="1" applyAlignment="1" applyProtection="1">
      <alignment horizontal="left" vertical="center"/>
      <protection/>
    </xf>
    <xf numFmtId="164" fontId="0" fillId="0" borderId="2" xfId="0" applyBorder="1" applyAlignment="1">
      <alignment/>
    </xf>
    <xf numFmtId="164" fontId="3" fillId="0" borderId="0" xfId="0" applyFont="1" applyBorder="1" applyAlignment="1" applyProtection="1">
      <alignment/>
      <protection/>
    </xf>
    <xf numFmtId="164" fontId="3" fillId="0" borderId="0" xfId="0" applyFont="1" applyAlignment="1" applyProtection="1">
      <alignment/>
      <protection/>
    </xf>
    <xf numFmtId="164" fontId="3" fillId="0" borderId="0" xfId="0" applyFont="1" applyBorder="1" applyAlignment="1">
      <alignment horizontal="left" vertical="center"/>
    </xf>
    <xf numFmtId="164" fontId="3" fillId="0" borderId="0" xfId="0" applyFont="1" applyBorder="1" applyAlignment="1" applyProtection="1">
      <alignment horizontal="left" vertical="top"/>
      <protection/>
    </xf>
    <xf numFmtId="164" fontId="3" fillId="0" borderId="0" xfId="0" applyFont="1" applyBorder="1" applyAlignment="1" applyProtection="1">
      <alignment horizontal="left" vertical="center"/>
      <protection hidden="1"/>
    </xf>
    <xf numFmtId="165" fontId="3" fillId="0" borderId="0" xfId="0" applyNumberFormat="1" applyFont="1" applyBorder="1" applyAlignment="1" applyProtection="1">
      <alignment horizontal="left" vertical="center"/>
      <protection/>
    </xf>
    <xf numFmtId="164" fontId="4" fillId="0" borderId="0" xfId="0" applyFont="1" applyBorder="1" applyAlignment="1" applyProtection="1">
      <alignment horizontal="left" vertical="top"/>
      <protection/>
    </xf>
    <xf numFmtId="164" fontId="3" fillId="0" borderId="0" xfId="0" applyFont="1" applyAlignment="1" applyProtection="1">
      <alignment horizontal="left"/>
      <protection/>
    </xf>
    <xf numFmtId="164" fontId="6" fillId="0" borderId="3" xfId="0" applyFont="1" applyBorder="1" applyAlignment="1" applyProtection="1">
      <alignment horizontal="left" vertical="center"/>
      <protection hidden="1"/>
    </xf>
    <xf numFmtId="164" fontId="6" fillId="0" borderId="4" xfId="0" applyFont="1" applyBorder="1" applyAlignment="1" applyProtection="1">
      <alignment horizontal="left" vertical="center"/>
      <protection hidden="1"/>
    </xf>
    <xf numFmtId="164" fontId="6" fillId="2" borderId="4" xfId="0" applyFont="1" applyFill="1" applyBorder="1" applyAlignment="1" applyProtection="1">
      <alignment vertical="center"/>
      <protection hidden="1"/>
    </xf>
    <xf numFmtId="164" fontId="6" fillId="0" borderId="3" xfId="0" applyFont="1" applyBorder="1" applyAlignment="1" applyProtection="1">
      <alignment vertical="center"/>
      <protection hidden="1"/>
    </xf>
    <xf numFmtId="167" fontId="6" fillId="2" borderId="5" xfId="19" applyNumberFormat="1" applyFont="1" applyFill="1" applyBorder="1" applyAlignment="1" applyProtection="1">
      <alignment horizontal="center" vertical="center"/>
      <protection hidden="1"/>
    </xf>
    <xf numFmtId="164" fontId="6" fillId="0" borderId="4" xfId="0" applyFont="1" applyBorder="1" applyAlignment="1" applyProtection="1">
      <alignment vertical="center"/>
      <protection hidden="1"/>
    </xf>
    <xf numFmtId="164" fontId="6" fillId="0" borderId="3" xfId="17" applyNumberFormat="1" applyFont="1" applyBorder="1" applyAlignment="1" applyProtection="1">
      <alignment vertical="center"/>
      <protection hidden="1"/>
    </xf>
    <xf numFmtId="164" fontId="6" fillId="0" borderId="3" xfId="0" applyFont="1" applyBorder="1" applyAlignment="1" applyProtection="1">
      <alignment horizontal="center" vertical="center"/>
      <protection hidden="1"/>
    </xf>
    <xf numFmtId="164" fontId="5" fillId="3" borderId="6" xfId="0" applyFont="1" applyFill="1" applyBorder="1" applyAlignment="1" applyProtection="1">
      <alignment horizontal="center" vertical="center"/>
      <protection hidden="1"/>
    </xf>
    <xf numFmtId="164" fontId="5" fillId="3" borderId="7" xfId="0" applyFont="1" applyFill="1" applyBorder="1" applyAlignment="1" applyProtection="1">
      <alignment horizontal="center" vertical="center"/>
      <protection hidden="1"/>
    </xf>
    <xf numFmtId="164" fontId="5" fillId="3" borderId="8" xfId="0" applyFont="1" applyFill="1" applyBorder="1" applyAlignment="1" applyProtection="1">
      <alignment horizontal="center" vertical="center"/>
      <protection hidden="1"/>
    </xf>
    <xf numFmtId="164" fontId="5" fillId="3" borderId="9" xfId="0" applyFont="1" applyFill="1" applyBorder="1" applyAlignment="1" applyProtection="1">
      <alignment horizontal="center" vertical="center"/>
      <protection hidden="1"/>
    </xf>
    <xf numFmtId="164" fontId="5" fillId="3" borderId="10" xfId="0" applyFont="1" applyFill="1" applyBorder="1" applyAlignment="1" applyProtection="1">
      <alignment horizontal="center" vertical="center" wrapText="1"/>
      <protection hidden="1"/>
    </xf>
    <xf numFmtId="164" fontId="5" fillId="3" borderId="6" xfId="0" applyFont="1" applyFill="1" applyBorder="1" applyAlignment="1" applyProtection="1">
      <alignment horizontal="center" vertical="center" wrapText="1"/>
      <protection hidden="1"/>
    </xf>
    <xf numFmtId="164" fontId="5" fillId="3" borderId="11" xfId="17" applyNumberFormat="1" applyFont="1" applyFill="1" applyBorder="1" applyAlignment="1" applyProtection="1">
      <alignment horizontal="center" vertical="center"/>
      <protection hidden="1"/>
    </xf>
    <xf numFmtId="164" fontId="5" fillId="3" borderId="11" xfId="0" applyFont="1" applyFill="1" applyBorder="1" applyAlignment="1" applyProtection="1">
      <alignment horizontal="center" vertical="center"/>
      <protection hidden="1"/>
    </xf>
    <xf numFmtId="164" fontId="5" fillId="4" borderId="12" xfId="0" applyFont="1" applyFill="1" applyBorder="1" applyAlignment="1" applyProtection="1">
      <alignment horizontal="center" vertical="center" wrapText="1"/>
      <protection hidden="1"/>
    </xf>
    <xf numFmtId="164" fontId="5" fillId="4" borderId="12" xfId="0" applyFont="1" applyFill="1" applyBorder="1" applyAlignment="1" applyProtection="1">
      <alignment horizontal="left" vertical="center" wrapText="1"/>
      <protection hidden="1"/>
    </xf>
    <xf numFmtId="168" fontId="8" fillId="5" borderId="12" xfId="17" applyFont="1" applyFill="1" applyBorder="1" applyAlignment="1" applyProtection="1">
      <alignment horizontal="center" vertical="center" wrapText="1"/>
      <protection hidden="1"/>
    </xf>
    <xf numFmtId="169" fontId="9" fillId="0" borderId="12" xfId="0" applyNumberFormat="1" applyFont="1" applyBorder="1" applyAlignment="1" applyProtection="1">
      <alignment horizontal="center" vertical="center" wrapText="1"/>
      <protection hidden="1"/>
    </xf>
    <xf numFmtId="164" fontId="3" fillId="0" borderId="12" xfId="0" applyFont="1" applyBorder="1" applyAlignment="1" applyProtection="1">
      <alignment horizontal="left" vertical="center" wrapText="1"/>
      <protection hidden="1"/>
    </xf>
    <xf numFmtId="170" fontId="3" fillId="0" borderId="12" xfId="20" applyNumberFormat="1" applyFont="1" applyBorder="1" applyAlignment="1" applyProtection="1">
      <alignment horizontal="center" vertical="center" wrapText="1"/>
      <protection hidden="1"/>
    </xf>
    <xf numFmtId="164" fontId="3" fillId="0" borderId="12" xfId="0" applyFont="1" applyBorder="1" applyAlignment="1" applyProtection="1">
      <alignment horizontal="center" vertical="center" wrapText="1"/>
      <protection hidden="1"/>
    </xf>
    <xf numFmtId="168" fontId="3" fillId="0" borderId="12" xfId="17" applyFont="1" applyBorder="1" applyAlignment="1" applyProtection="1">
      <alignment horizontal="center" vertical="center" wrapText="1"/>
      <protection hidden="1"/>
    </xf>
    <xf numFmtId="171" fontId="3" fillId="0" borderId="12" xfId="0" applyNumberFormat="1" applyFont="1" applyBorder="1" applyAlignment="1" applyProtection="1">
      <alignment horizontal="center" vertical="center" wrapText="1"/>
      <protection hidden="1"/>
    </xf>
    <xf numFmtId="164" fontId="3" fillId="0" borderId="12" xfId="17" applyNumberFormat="1" applyFont="1" applyBorder="1" applyAlignment="1" applyProtection="1">
      <alignment horizontal="center" vertical="center" wrapText="1"/>
      <protection hidden="1"/>
    </xf>
    <xf numFmtId="164" fontId="3" fillId="0" borderId="12" xfId="0" applyFont="1" applyBorder="1" applyAlignment="1">
      <alignment horizontal="left" vertical="center" wrapText="1"/>
    </xf>
    <xf numFmtId="164" fontId="5" fillId="4" borderId="12" xfId="20" applyFont="1" applyFill="1" applyBorder="1" applyAlignment="1" applyProtection="1">
      <alignment horizontal="center" vertical="center" wrapText="1"/>
      <protection hidden="1"/>
    </xf>
    <xf numFmtId="164" fontId="5" fillId="4" borderId="12" xfId="20" applyFont="1" applyFill="1" applyBorder="1" applyAlignment="1" applyProtection="1">
      <alignment horizontal="left" vertical="center" wrapText="1"/>
      <protection hidden="1"/>
    </xf>
    <xf numFmtId="164" fontId="8" fillId="5" borderId="12" xfId="17" applyNumberFormat="1" applyFont="1" applyFill="1" applyBorder="1" applyAlignment="1" applyProtection="1">
      <alignment horizontal="center" vertical="center" wrapText="1"/>
      <protection hidden="1"/>
    </xf>
    <xf numFmtId="169" fontId="9" fillId="0" borderId="12" xfId="20" applyNumberFormat="1" applyFont="1" applyBorder="1" applyAlignment="1" applyProtection="1">
      <alignment horizontal="center" vertical="center" wrapText="1"/>
      <protection hidden="1"/>
    </xf>
    <xf numFmtId="164" fontId="3" fillId="0" borderId="12" xfId="20" applyFont="1" applyBorder="1" applyAlignment="1" applyProtection="1">
      <alignment horizontal="left" vertical="center" wrapText="1"/>
      <protection hidden="1"/>
    </xf>
    <xf numFmtId="164" fontId="3" fillId="0" borderId="12" xfId="20" applyFont="1" applyBorder="1" applyAlignment="1" applyProtection="1">
      <alignment horizontal="center" vertical="center" wrapText="1"/>
      <protection hidden="1"/>
    </xf>
    <xf numFmtId="164" fontId="3" fillId="0" borderId="12" xfId="20" applyFont="1" applyBorder="1" applyAlignment="1" applyProtection="1">
      <alignment horizontal="left" vertical="top" wrapText="1"/>
      <protection hidden="1"/>
    </xf>
    <xf numFmtId="172" fontId="3" fillId="0" borderId="12" xfId="0" applyNumberFormat="1" applyFont="1" applyBorder="1" applyAlignment="1">
      <alignment horizontal="center" vertical="center" wrapText="1"/>
    </xf>
    <xf numFmtId="170" fontId="3" fillId="0" borderId="12" xfId="0" applyNumberFormat="1" applyFont="1" applyBorder="1" applyAlignment="1" applyProtection="1">
      <alignment horizontal="center" vertical="center" wrapText="1"/>
      <protection locked="0"/>
    </xf>
    <xf numFmtId="173" fontId="3" fillId="0" borderId="12" xfId="0" applyNumberFormat="1" applyFont="1" applyBorder="1" applyAlignment="1">
      <alignment/>
    </xf>
    <xf numFmtId="164" fontId="3" fillId="2" borderId="12" xfId="17" applyNumberFormat="1" applyFont="1" applyFill="1" applyBorder="1" applyAlignment="1" applyProtection="1">
      <alignment horizontal="center" vertical="center" wrapText="1"/>
      <protection hidden="1"/>
    </xf>
    <xf numFmtId="164" fontId="5" fillId="4" borderId="12" xfId="0" applyFont="1" applyFill="1" applyBorder="1" applyAlignment="1" applyProtection="1">
      <alignment horizontal="right" vertical="center" wrapText="1"/>
      <protection hidden="1"/>
    </xf>
    <xf numFmtId="167" fontId="5" fillId="4" borderId="12" xfId="17" applyNumberFormat="1" applyFont="1" applyFill="1" applyBorder="1" applyAlignment="1" applyProtection="1">
      <alignment vertical="center" wrapText="1"/>
      <protection hidden="1"/>
    </xf>
    <xf numFmtId="168" fontId="5" fillId="5" borderId="12" xfId="17" applyFont="1" applyFill="1" applyBorder="1" applyAlignment="1" applyProtection="1">
      <alignment horizontal="center" vertical="center" wrapText="1"/>
      <protection hidden="1"/>
    </xf>
    <xf numFmtId="164" fontId="5" fillId="5" borderId="12" xfId="17" applyNumberFormat="1" applyFont="1" applyFill="1" applyBorder="1" applyAlignment="1" applyProtection="1">
      <alignment horizontal="center" vertical="center" wrapText="1"/>
      <protection hidden="1"/>
    </xf>
    <xf numFmtId="170" fontId="3" fillId="0" borderId="12" xfId="0" applyNumberFormat="1" applyFont="1" applyBorder="1" applyAlignment="1" applyProtection="1">
      <alignment horizontal="center" vertical="center" wrapText="1"/>
      <protection hidden="1"/>
    </xf>
    <xf numFmtId="170" fontId="2" fillId="6" borderId="12" xfId="0" applyNumberFormat="1" applyFont="1" applyFill="1" applyBorder="1" applyAlignment="1" applyProtection="1">
      <alignment horizontal="center" vertical="center" wrapText="1"/>
      <protection hidden="1"/>
    </xf>
    <xf numFmtId="164" fontId="2" fillId="0" borderId="0" xfId="0" applyFont="1" applyBorder="1" applyAlignment="1" applyProtection="1">
      <alignment horizontal="center" vertical="center" wrapText="1"/>
      <protection hidden="1"/>
    </xf>
    <xf numFmtId="164" fontId="5" fillId="0" borderId="12" xfId="0" applyFont="1" applyBorder="1" applyAlignment="1" applyProtection="1">
      <alignment horizontal="left" vertical="center" wrapText="1"/>
      <protection hidden="1"/>
    </xf>
    <xf numFmtId="170" fontId="5" fillId="0" borderId="12" xfId="20" applyNumberFormat="1" applyFont="1" applyBorder="1" applyAlignment="1" applyProtection="1">
      <alignment horizontal="center" vertical="center" wrapText="1"/>
      <protection hidden="1"/>
    </xf>
    <xf numFmtId="168" fontId="5" fillId="0" borderId="12" xfId="17" applyFont="1" applyBorder="1" applyAlignment="1" applyProtection="1">
      <alignment horizontal="center" vertical="center" wrapText="1"/>
      <protection hidden="1"/>
    </xf>
    <xf numFmtId="170" fontId="3" fillId="0" borderId="12" xfId="20" applyNumberFormat="1" applyFont="1" applyBorder="1" applyAlignment="1" applyProtection="1">
      <alignment horizontal="center" vertical="center" wrapText="1"/>
      <protection locked="0"/>
    </xf>
    <xf numFmtId="164" fontId="0" fillId="0" borderId="0" xfId="0" applyAlignment="1">
      <alignment horizontal="center"/>
    </xf>
    <xf numFmtId="164" fontId="2" fillId="0" borderId="13" xfId="0" applyFont="1" applyBorder="1" applyAlignment="1">
      <alignment horizontal="center" vertical="center"/>
    </xf>
    <xf numFmtId="164" fontId="11" fillId="0" borderId="12" xfId="0" applyFont="1" applyBorder="1" applyAlignment="1" applyProtection="1">
      <alignment horizontal="right" vertical="center"/>
      <protection/>
    </xf>
    <xf numFmtId="164" fontId="11" fillId="0" borderId="14" xfId="0" applyFont="1" applyBorder="1" applyAlignment="1">
      <alignment horizontal="center" vertical="center"/>
    </xf>
    <xf numFmtId="174" fontId="11" fillId="0" borderId="12" xfId="0" applyNumberFormat="1" applyFont="1" applyBorder="1" applyAlignment="1">
      <alignment vertical="center" wrapText="1"/>
    </xf>
    <xf numFmtId="164" fontId="11" fillId="0" borderId="12" xfId="0" applyFont="1" applyBorder="1" applyAlignment="1">
      <alignment horizontal="center" vertical="center"/>
    </xf>
    <xf numFmtId="164" fontId="11" fillId="0" borderId="15" xfId="0" applyFont="1" applyBorder="1" applyAlignment="1" applyProtection="1">
      <alignment horizontal="center" vertical="center"/>
      <protection/>
    </xf>
    <xf numFmtId="164" fontId="11" fillId="0" borderId="2" xfId="0" applyFont="1" applyBorder="1" applyAlignment="1" applyProtection="1">
      <alignment horizontal="center" vertical="center"/>
      <protection/>
    </xf>
    <xf numFmtId="164" fontId="11" fillId="0" borderId="12" xfId="0" applyFont="1" applyBorder="1" applyAlignment="1" applyProtection="1">
      <alignment horizontal="center" vertical="center" wrapText="1"/>
      <protection/>
    </xf>
    <xf numFmtId="174" fontId="11" fillId="7" borderId="0" xfId="0" applyNumberFormat="1" applyFont="1" applyFill="1" applyBorder="1" applyAlignment="1" applyProtection="1">
      <alignment vertical="center" wrapText="1"/>
      <protection locked="0"/>
    </xf>
    <xf numFmtId="164" fontId="11" fillId="7" borderId="16" xfId="0" applyFont="1" applyFill="1" applyBorder="1" applyAlignment="1" applyProtection="1">
      <alignment horizontal="center" vertical="center"/>
      <protection locked="0"/>
    </xf>
    <xf numFmtId="175" fontId="11" fillId="7" borderId="12" xfId="0" applyNumberFormat="1" applyFont="1" applyFill="1" applyBorder="1" applyAlignment="1" applyProtection="1">
      <alignment horizontal="center" vertical="center"/>
      <protection locked="0"/>
    </xf>
    <xf numFmtId="176" fontId="11" fillId="0" borderId="15" xfId="0" applyNumberFormat="1" applyFont="1" applyBorder="1" applyAlignment="1" applyProtection="1">
      <alignment vertical="center"/>
      <protection/>
    </xf>
    <xf numFmtId="164" fontId="12" fillId="0" borderId="15" xfId="0" applyFont="1" applyBorder="1" applyAlignment="1">
      <alignment horizontal="center" vertical="center"/>
    </xf>
    <xf numFmtId="177" fontId="12" fillId="0" borderId="12" xfId="0" applyNumberFormat="1" applyFont="1" applyBorder="1" applyAlignment="1">
      <alignment horizontal="center" vertical="center"/>
    </xf>
    <xf numFmtId="174" fontId="12" fillId="0" borderId="12" xfId="0" applyNumberFormat="1" applyFont="1" applyBorder="1" applyAlignment="1">
      <alignment vertical="center"/>
    </xf>
    <xf numFmtId="164" fontId="12" fillId="0" borderId="12" xfId="0" applyFont="1" applyBorder="1" applyAlignment="1">
      <alignment horizontal="center" vertical="center"/>
    </xf>
    <xf numFmtId="164" fontId="0" fillId="0" borderId="12" xfId="0" applyBorder="1" applyAlignment="1">
      <alignment/>
    </xf>
    <xf numFmtId="164" fontId="12" fillId="7" borderId="17" xfId="0" applyFont="1" applyFill="1" applyBorder="1" applyAlignment="1" applyProtection="1">
      <alignment horizontal="center" vertical="center" wrapText="1"/>
      <protection locked="0"/>
    </xf>
    <xf numFmtId="174" fontId="12" fillId="7" borderId="17" xfId="0" applyNumberFormat="1" applyFont="1" applyFill="1" applyBorder="1" applyAlignment="1" applyProtection="1">
      <alignment vertical="center" wrapText="1"/>
      <protection locked="0"/>
    </xf>
    <xf numFmtId="174" fontId="12" fillId="7" borderId="17" xfId="0" applyNumberFormat="1" applyFont="1" applyFill="1" applyBorder="1" applyAlignment="1" applyProtection="1">
      <alignment horizontal="center" vertical="center" wrapText="1"/>
      <protection locked="0"/>
    </xf>
    <xf numFmtId="176" fontId="12" fillId="0" borderId="18" xfId="0" applyNumberFormat="1" applyFont="1" applyBorder="1" applyAlignment="1">
      <alignment vertical="center"/>
    </xf>
    <xf numFmtId="164" fontId="12" fillId="7" borderId="0" xfId="0" applyFont="1" applyFill="1" applyBorder="1" applyAlignment="1" applyProtection="1">
      <alignment horizontal="center" vertical="center" wrapText="1"/>
      <protection locked="0"/>
    </xf>
    <xf numFmtId="164" fontId="3" fillId="0" borderId="0" xfId="0" applyFont="1" applyAlignment="1" applyProtection="1">
      <alignment vertical="center"/>
      <protection/>
    </xf>
    <xf numFmtId="164" fontId="3" fillId="0" borderId="0" xfId="0" applyFont="1" applyBorder="1" applyAlignment="1" applyProtection="1">
      <alignment vertical="center"/>
      <protection/>
    </xf>
    <xf numFmtId="164" fontId="13" fillId="4" borderId="19" xfId="0" applyFont="1" applyFill="1" applyBorder="1" applyAlignment="1" applyProtection="1">
      <alignment vertical="center"/>
      <protection/>
    </xf>
    <xf numFmtId="164" fontId="13" fillId="4" borderId="20" xfId="0" applyFont="1" applyFill="1" applyBorder="1" applyAlignment="1" applyProtection="1">
      <alignment vertical="center"/>
      <protection/>
    </xf>
    <xf numFmtId="164" fontId="14" fillId="0" borderId="5" xfId="0" applyFont="1" applyBorder="1" applyAlignment="1" applyProtection="1">
      <alignment horizontal="center" vertical="center"/>
      <protection/>
    </xf>
    <xf numFmtId="164" fontId="13" fillId="4" borderId="20" xfId="0" applyFont="1" applyFill="1" applyBorder="1" applyAlignment="1" applyProtection="1">
      <alignment horizontal="left" vertical="center"/>
      <protection/>
    </xf>
    <xf numFmtId="164" fontId="13" fillId="4" borderId="21" xfId="0" applyFont="1" applyFill="1" applyBorder="1" applyAlignment="1" applyProtection="1">
      <alignment horizontal="left" vertical="center"/>
      <protection/>
    </xf>
    <xf numFmtId="165" fontId="3" fillId="0" borderId="0" xfId="0" applyNumberFormat="1" applyFont="1" applyBorder="1" applyAlignment="1" applyProtection="1">
      <alignment vertical="center"/>
      <protection/>
    </xf>
    <xf numFmtId="164" fontId="13" fillId="4" borderId="22" xfId="0" applyFont="1" applyFill="1" applyBorder="1" applyAlignment="1" applyProtection="1">
      <alignment vertical="center"/>
      <protection/>
    </xf>
    <xf numFmtId="164" fontId="13" fillId="4" borderId="0" xfId="0" applyFont="1" applyFill="1" applyBorder="1" applyAlignment="1" applyProtection="1">
      <alignment vertical="center"/>
      <protection/>
    </xf>
    <xf numFmtId="164" fontId="15" fillId="4" borderId="0" xfId="0" applyFont="1" applyFill="1" applyBorder="1" applyAlignment="1" applyProtection="1">
      <alignment vertical="center"/>
      <protection/>
    </xf>
    <xf numFmtId="164" fontId="15" fillId="4" borderId="23" xfId="0" applyFont="1" applyFill="1" applyBorder="1" applyAlignment="1" applyProtection="1">
      <alignment vertical="center"/>
      <protection/>
    </xf>
    <xf numFmtId="164" fontId="13" fillId="4" borderId="23" xfId="0" applyFont="1" applyFill="1" applyBorder="1" applyAlignment="1" applyProtection="1">
      <alignment vertical="center"/>
      <protection/>
    </xf>
    <xf numFmtId="164" fontId="16" fillId="8" borderId="22" xfId="0" applyFont="1" applyFill="1" applyBorder="1" applyAlignment="1" applyProtection="1">
      <alignment horizontal="left" vertical="center"/>
      <protection/>
    </xf>
    <xf numFmtId="164" fontId="16" fillId="8" borderId="23" xfId="0" applyFont="1" applyFill="1" applyBorder="1" applyAlignment="1" applyProtection="1">
      <alignment horizontal="right" vertical="center"/>
      <protection/>
    </xf>
    <xf numFmtId="164" fontId="3" fillId="0" borderId="0" xfId="0" applyFont="1" applyBorder="1" applyAlignment="1" applyProtection="1">
      <alignment horizontal="center" vertical="center"/>
      <protection/>
    </xf>
    <xf numFmtId="164" fontId="15" fillId="0" borderId="22" xfId="0" applyFont="1" applyBorder="1" applyAlignment="1" applyProtection="1">
      <alignment horizontal="left" vertical="center"/>
      <protection/>
    </xf>
    <xf numFmtId="164" fontId="15" fillId="0" borderId="0" xfId="0" applyFont="1" applyBorder="1" applyAlignment="1" applyProtection="1">
      <alignment horizontal="left" vertical="center"/>
      <protection/>
    </xf>
    <xf numFmtId="164" fontId="13" fillId="0" borderId="0" xfId="0" applyFont="1" applyBorder="1" applyAlignment="1" applyProtection="1">
      <alignment horizontal="center" vertical="center"/>
      <protection/>
    </xf>
    <xf numFmtId="164" fontId="13" fillId="0" borderId="0" xfId="0" applyFont="1" applyBorder="1" applyAlignment="1" applyProtection="1">
      <alignment vertical="center"/>
      <protection/>
    </xf>
    <xf numFmtId="164" fontId="13" fillId="0" borderId="23" xfId="0" applyFont="1" applyBorder="1" applyAlignment="1" applyProtection="1">
      <alignment vertical="center"/>
      <protection/>
    </xf>
    <xf numFmtId="164" fontId="13" fillId="0" borderId="22" xfId="0" applyFont="1" applyBorder="1" applyAlignment="1" applyProtection="1">
      <alignment horizontal="left" vertical="center"/>
      <protection/>
    </xf>
    <xf numFmtId="164" fontId="13" fillId="0" borderId="0" xfId="0" applyFont="1" applyBorder="1" applyAlignment="1" applyProtection="1">
      <alignment horizontal="left" vertical="center"/>
      <protection/>
    </xf>
    <xf numFmtId="164" fontId="13" fillId="0" borderId="24" xfId="0" applyFont="1" applyBorder="1" applyAlignment="1" applyProtection="1">
      <alignment horizontal="left" vertical="center"/>
      <protection/>
    </xf>
    <xf numFmtId="164" fontId="15" fillId="0" borderId="25" xfId="0" applyFont="1" applyBorder="1" applyAlignment="1" applyProtection="1">
      <alignment horizontal="left" vertical="center"/>
      <protection locked="0"/>
    </xf>
    <xf numFmtId="164" fontId="15" fillId="0" borderId="26" xfId="0" applyFont="1" applyBorder="1" applyAlignment="1" applyProtection="1">
      <alignment horizontal="left" vertical="center"/>
      <protection locked="0"/>
    </xf>
    <xf numFmtId="164" fontId="4" fillId="0" borderId="0" xfId="0" applyFont="1" applyAlignment="1" applyProtection="1">
      <alignment vertical="center"/>
      <protection/>
    </xf>
    <xf numFmtId="165" fontId="4" fillId="0" borderId="0" xfId="0" applyNumberFormat="1" applyFont="1" applyBorder="1" applyAlignment="1" applyProtection="1">
      <alignment vertical="center"/>
      <protection/>
    </xf>
    <xf numFmtId="164" fontId="4" fillId="0" borderId="0" xfId="0" applyFont="1" applyAlignment="1" applyProtection="1">
      <alignment horizontal="center" vertical="center"/>
      <protection/>
    </xf>
    <xf numFmtId="164" fontId="15" fillId="0" borderId="27" xfId="0" applyFont="1" applyBorder="1" applyAlignment="1" applyProtection="1">
      <alignment horizontal="left" vertical="center" wrapText="1"/>
      <protection locked="0"/>
    </xf>
    <xf numFmtId="164" fontId="17" fillId="0" borderId="26" xfId="0" applyFont="1" applyBorder="1" applyAlignment="1" applyProtection="1">
      <alignment horizontal="left" vertical="center"/>
      <protection locked="0"/>
    </xf>
    <xf numFmtId="164" fontId="3" fillId="0" borderId="0" xfId="0" applyFont="1" applyAlignment="1" applyProtection="1">
      <alignment horizontal="center" vertical="center"/>
      <protection/>
    </xf>
    <xf numFmtId="164" fontId="13" fillId="3" borderId="28" xfId="0" applyFont="1" applyFill="1" applyBorder="1" applyAlignment="1" applyProtection="1">
      <alignment horizontal="center" vertical="center"/>
      <protection/>
    </xf>
    <xf numFmtId="164" fontId="13" fillId="3" borderId="20" xfId="0" applyFont="1" applyFill="1" applyBorder="1" applyAlignment="1" applyProtection="1">
      <alignment vertical="center"/>
      <protection/>
    </xf>
    <xf numFmtId="164" fontId="13" fillId="3" borderId="29" xfId="0" applyFont="1" applyFill="1" applyBorder="1" applyAlignment="1" applyProtection="1">
      <alignment horizontal="center" vertical="center" wrapText="1"/>
      <protection/>
    </xf>
    <xf numFmtId="164" fontId="15" fillId="3" borderId="30" xfId="0" applyFont="1" applyFill="1" applyBorder="1" applyAlignment="1" applyProtection="1">
      <alignment horizontal="center" vertical="center"/>
      <protection/>
    </xf>
    <xf numFmtId="167" fontId="15" fillId="4" borderId="5" xfId="19" applyNumberFormat="1" applyFont="1" applyFill="1" applyBorder="1" applyAlignment="1" applyProtection="1">
      <alignment horizontal="center" vertical="center"/>
      <protection/>
    </xf>
    <xf numFmtId="164" fontId="13" fillId="3" borderId="31" xfId="0" applyFont="1" applyFill="1" applyBorder="1" applyAlignment="1" applyProtection="1">
      <alignment vertical="center"/>
      <protection/>
    </xf>
    <xf numFmtId="164" fontId="2" fillId="0" borderId="0" xfId="0" applyFont="1" applyBorder="1" applyAlignment="1" applyProtection="1">
      <alignment horizontal="center" vertical="center"/>
      <protection/>
    </xf>
    <xf numFmtId="164" fontId="15" fillId="0" borderId="27" xfId="0" applyFont="1" applyBorder="1" applyAlignment="1" applyProtection="1">
      <alignment horizontal="center" vertical="center"/>
      <protection/>
    </xf>
    <xf numFmtId="164" fontId="13" fillId="0" borderId="32" xfId="0" applyFont="1" applyBorder="1" applyAlignment="1" applyProtection="1">
      <alignment horizontal="center" vertical="center"/>
      <protection/>
    </xf>
    <xf numFmtId="167" fontId="13" fillId="0" borderId="33" xfId="0" applyNumberFormat="1" applyFont="1" applyBorder="1" applyAlignment="1" applyProtection="1">
      <alignment vertical="center"/>
      <protection/>
    </xf>
    <xf numFmtId="167" fontId="13" fillId="0" borderId="34" xfId="0" applyNumberFormat="1" applyFont="1" applyBorder="1" applyAlignment="1" applyProtection="1">
      <alignment horizontal="center" vertical="center"/>
      <protection/>
    </xf>
    <xf numFmtId="164" fontId="13" fillId="0" borderId="34" xfId="0" applyFont="1" applyBorder="1" applyAlignment="1" applyProtection="1">
      <alignment horizontal="center" vertical="center"/>
      <protection/>
    </xf>
    <xf numFmtId="167" fontId="13" fillId="0" borderId="35" xfId="0" applyNumberFormat="1" applyFont="1" applyBorder="1" applyAlignment="1" applyProtection="1">
      <alignment horizontal="center" vertical="center"/>
      <protection/>
    </xf>
    <xf numFmtId="164" fontId="13" fillId="0" borderId="33" xfId="0" applyFont="1" applyBorder="1" applyAlignment="1" applyProtection="1">
      <alignment vertical="center"/>
      <protection/>
    </xf>
    <xf numFmtId="164" fontId="13" fillId="0" borderId="34" xfId="0" applyFont="1" applyBorder="1" applyAlignment="1" applyProtection="1">
      <alignment vertical="center"/>
      <protection/>
    </xf>
    <xf numFmtId="167" fontId="13" fillId="4" borderId="16" xfId="19" applyNumberFormat="1" applyFont="1" applyFill="1" applyBorder="1" applyAlignment="1" applyProtection="1">
      <alignment horizontal="right" vertical="center"/>
      <protection locked="0"/>
    </xf>
    <xf numFmtId="164" fontId="13" fillId="0" borderId="36" xfId="0" applyFont="1" applyBorder="1" applyAlignment="1" applyProtection="1">
      <alignment horizontal="center" vertical="center" wrapText="1"/>
      <protection/>
    </xf>
    <xf numFmtId="164" fontId="13" fillId="0" borderId="12" xfId="0" applyFont="1" applyBorder="1" applyAlignment="1" applyProtection="1">
      <alignment horizontal="center" vertical="center"/>
      <protection/>
    </xf>
    <xf numFmtId="167" fontId="13" fillId="0" borderId="14" xfId="0" applyNumberFormat="1" applyFont="1" applyBorder="1" applyAlignment="1" applyProtection="1">
      <alignment vertical="center"/>
      <protection/>
    </xf>
    <xf numFmtId="167" fontId="13" fillId="0" borderId="37" xfId="0" applyNumberFormat="1" applyFont="1" applyBorder="1" applyAlignment="1" applyProtection="1">
      <alignment horizontal="center" vertical="center"/>
      <protection/>
    </xf>
    <xf numFmtId="164" fontId="13" fillId="0" borderId="37" xfId="0" applyFont="1" applyBorder="1" applyAlignment="1" applyProtection="1">
      <alignment horizontal="center" vertical="center"/>
      <protection/>
    </xf>
    <xf numFmtId="167" fontId="13" fillId="0" borderId="15" xfId="0" applyNumberFormat="1" applyFont="1" applyBorder="1" applyAlignment="1" applyProtection="1">
      <alignment horizontal="center" vertical="center"/>
      <protection/>
    </xf>
    <xf numFmtId="164" fontId="13" fillId="0" borderId="15" xfId="0" applyFont="1" applyBorder="1" applyAlignment="1" applyProtection="1">
      <alignment horizontal="left" vertical="center"/>
      <protection/>
    </xf>
    <xf numFmtId="164" fontId="13" fillId="0" borderId="38" xfId="0" applyFont="1" applyBorder="1" applyAlignment="1" applyProtection="1">
      <alignment horizontal="center" vertical="center" wrapText="1"/>
      <protection/>
    </xf>
    <xf numFmtId="164" fontId="13" fillId="0" borderId="39" xfId="0" applyFont="1" applyBorder="1" applyAlignment="1" applyProtection="1">
      <alignment horizontal="center" vertical="center" wrapText="1"/>
      <protection/>
    </xf>
    <xf numFmtId="164" fontId="2" fillId="0" borderId="40" xfId="0" applyFont="1" applyBorder="1" applyAlignment="1" applyProtection="1">
      <alignment horizontal="center" vertical="center"/>
      <protection/>
    </xf>
    <xf numFmtId="164" fontId="18" fillId="0" borderId="12" xfId="0" applyFont="1" applyBorder="1" applyAlignment="1" applyProtection="1">
      <alignment horizontal="center" vertical="center"/>
      <protection/>
    </xf>
    <xf numFmtId="167" fontId="18" fillId="0" borderId="14" xfId="0" applyNumberFormat="1" applyFont="1" applyBorder="1" applyAlignment="1" applyProtection="1">
      <alignment vertical="center"/>
      <protection/>
    </xf>
    <xf numFmtId="167" fontId="18" fillId="0" borderId="37" xfId="0" applyNumberFormat="1" applyFont="1" applyBorder="1" applyAlignment="1" applyProtection="1">
      <alignment horizontal="center" vertical="center"/>
      <protection/>
    </xf>
    <xf numFmtId="164" fontId="18" fillId="0" borderId="37" xfId="0" applyFont="1" applyBorder="1" applyAlignment="1" applyProtection="1">
      <alignment horizontal="center" vertical="center"/>
      <protection/>
    </xf>
    <xf numFmtId="167" fontId="18" fillId="0" borderId="15" xfId="0" applyNumberFormat="1" applyFont="1" applyBorder="1" applyAlignment="1" applyProtection="1">
      <alignment horizontal="center" vertical="center"/>
      <protection/>
    </xf>
    <xf numFmtId="164" fontId="18" fillId="0" borderId="15" xfId="0" applyFont="1" applyBorder="1" applyAlignment="1" applyProtection="1">
      <alignment horizontal="left" vertical="center"/>
      <protection/>
    </xf>
    <xf numFmtId="167" fontId="18" fillId="4" borderId="16" xfId="19" applyNumberFormat="1" applyFont="1" applyFill="1" applyBorder="1" applyAlignment="1" applyProtection="1">
      <alignment horizontal="right" vertical="center"/>
      <protection locked="0"/>
    </xf>
    <xf numFmtId="164" fontId="6" fillId="0" borderId="0" xfId="0" applyFont="1" applyBorder="1" applyAlignment="1" applyProtection="1">
      <alignment horizontal="center" vertical="center"/>
      <protection/>
    </xf>
    <xf numFmtId="164" fontId="13" fillId="0" borderId="41" xfId="0" applyFont="1" applyBorder="1" applyAlignment="1" applyProtection="1">
      <alignment horizontal="center" vertical="center" wrapText="1"/>
      <protection/>
    </xf>
    <xf numFmtId="164" fontId="18" fillId="0" borderId="42" xfId="0" applyFont="1" applyBorder="1" applyAlignment="1" applyProtection="1">
      <alignment horizontal="left" vertical="center"/>
      <protection/>
    </xf>
    <xf numFmtId="167" fontId="18" fillId="4" borderId="43" xfId="19" applyNumberFormat="1" applyFont="1" applyFill="1" applyBorder="1" applyAlignment="1" applyProtection="1">
      <alignment horizontal="right" vertical="center"/>
      <protection locked="0"/>
    </xf>
    <xf numFmtId="164" fontId="0" fillId="0" borderId="0" xfId="0" applyAlignment="1" applyProtection="1">
      <alignment vertical="center"/>
      <protection/>
    </xf>
    <xf numFmtId="164" fontId="6" fillId="0" borderId="0" xfId="0" applyFont="1" applyBorder="1" applyAlignment="1" applyProtection="1">
      <alignment horizontal="center" vertical="center"/>
      <protection locked="0"/>
    </xf>
    <xf numFmtId="177" fontId="0" fillId="0" borderId="0" xfId="0" applyNumberFormat="1" applyFont="1" applyBorder="1" applyAlignment="1" applyProtection="1">
      <alignment horizontal="center" vertical="center"/>
      <protection locked="0"/>
    </xf>
    <xf numFmtId="164" fontId="6" fillId="0" borderId="0" xfId="0" applyFont="1" applyBorder="1" applyAlignment="1" applyProtection="1">
      <alignment horizontal="left" vertical="center"/>
      <protection locked="0"/>
    </xf>
    <xf numFmtId="164" fontId="18" fillId="0" borderId="0" xfId="0" applyFont="1" applyBorder="1" applyAlignment="1" applyProtection="1">
      <alignment horizontal="center" vertical="center"/>
      <protection locked="0"/>
    </xf>
    <xf numFmtId="165" fontId="18" fillId="0" borderId="0" xfId="0" applyNumberFormat="1" applyFont="1" applyBorder="1" applyAlignment="1" applyProtection="1">
      <alignment horizontal="right" vertical="center"/>
      <protection locked="0"/>
    </xf>
    <xf numFmtId="170" fontId="18" fillId="0" borderId="20" xfId="15" applyFont="1" applyBorder="1" applyAlignment="1" applyProtection="1">
      <alignment horizontal="right" vertical="center"/>
      <protection locked="0"/>
    </xf>
    <xf numFmtId="170" fontId="18" fillId="0" borderId="20" xfId="15" applyFont="1" applyBorder="1" applyAlignment="1" applyProtection="1">
      <alignment horizontal="right" vertical="center"/>
      <protection/>
    </xf>
    <xf numFmtId="170" fontId="18" fillId="0" borderId="0" xfId="15" applyFont="1" applyBorder="1" applyAlignment="1" applyProtection="1">
      <alignment horizontal="right" vertical="center"/>
      <protection/>
    </xf>
    <xf numFmtId="164" fontId="0" fillId="0" borderId="0" xfId="0" applyFont="1" applyBorder="1" applyAlignment="1" applyProtection="1">
      <alignment vertical="center"/>
      <protection locked="0"/>
    </xf>
    <xf numFmtId="177" fontId="0" fillId="0" borderId="0" xfId="0" applyNumberFormat="1" applyFont="1" applyBorder="1" applyAlignment="1" applyProtection="1">
      <alignment vertical="center"/>
      <protection locked="0"/>
    </xf>
    <xf numFmtId="165" fontId="0" fillId="0" borderId="0" xfId="0" applyNumberFormat="1" applyFont="1" applyBorder="1" applyAlignment="1" applyProtection="1">
      <alignment vertical="center"/>
      <protection locked="0"/>
    </xf>
    <xf numFmtId="170" fontId="0" fillId="0" borderId="0" xfId="15" applyFont="1" applyBorder="1" applyAlignment="1" applyProtection="1">
      <alignment vertical="center"/>
      <protection locked="0"/>
    </xf>
    <xf numFmtId="170" fontId="0" fillId="0" borderId="0" xfId="15" applyFont="1" applyBorder="1" applyAlignment="1" applyProtection="1">
      <alignment vertical="center"/>
      <protection/>
    </xf>
    <xf numFmtId="170" fontId="0" fillId="0" borderId="0" xfId="15" applyFont="1" applyBorder="1" applyAlignment="1" applyProtection="1">
      <alignment horizontal="right" vertical="center"/>
      <protection/>
    </xf>
    <xf numFmtId="164" fontId="0" fillId="0" borderId="0" xfId="0" applyFont="1" applyBorder="1" applyAlignment="1" applyProtection="1">
      <alignment horizontal="left" vertical="center"/>
      <protection locked="0"/>
    </xf>
    <xf numFmtId="164" fontId="3" fillId="2" borderId="0" xfId="0" applyFont="1" applyFill="1" applyBorder="1" applyAlignment="1">
      <alignment wrapText="1"/>
    </xf>
    <xf numFmtId="164" fontId="3" fillId="0" borderId="0" xfId="0" applyFont="1" applyBorder="1" applyAlignment="1">
      <alignment wrapText="1"/>
    </xf>
    <xf numFmtId="164" fontId="0" fillId="0" borderId="0" xfId="0" applyFont="1" applyBorder="1" applyAlignment="1" applyProtection="1">
      <alignment horizontal="center" vertical="center"/>
      <protection locked="0"/>
    </xf>
    <xf numFmtId="165" fontId="0" fillId="0" borderId="0" xfId="0" applyNumberFormat="1" applyFont="1" applyBorder="1" applyAlignment="1" applyProtection="1">
      <alignment horizontal="right" vertical="center"/>
      <protection locked="0"/>
    </xf>
    <xf numFmtId="170" fontId="0" fillId="0" borderId="0" xfId="15" applyFont="1" applyBorder="1" applyAlignment="1" applyProtection="1">
      <alignment horizontal="right" vertical="center"/>
      <protection locked="0"/>
    </xf>
    <xf numFmtId="164" fontId="8" fillId="0" borderId="44" xfId="0" applyFont="1" applyBorder="1" applyAlignment="1">
      <alignment horizontal="center" vertical="center" wrapText="1"/>
    </xf>
    <xf numFmtId="164" fontId="8" fillId="0" borderId="0" xfId="0" applyFont="1" applyBorder="1" applyAlignment="1">
      <alignment horizontal="center" vertical="center" wrapText="1"/>
    </xf>
    <xf numFmtId="164" fontId="3" fillId="2" borderId="0" xfId="0" applyFont="1" applyFill="1" applyBorder="1" applyAlignment="1">
      <alignment horizontal="center" wrapText="1"/>
    </xf>
    <xf numFmtId="164" fontId="3" fillId="0" borderId="0" xfId="0" applyFont="1" applyBorder="1" applyAlignment="1">
      <alignment horizontal="center" vertical="center" wrapText="1"/>
    </xf>
    <xf numFmtId="164" fontId="6" fillId="0" borderId="0" xfId="0" applyFont="1" applyBorder="1" applyAlignment="1" applyProtection="1">
      <alignment vertical="center" wrapText="1"/>
      <protection locked="0"/>
    </xf>
    <xf numFmtId="164" fontId="6" fillId="0" borderId="0" xfId="0" applyFont="1" applyBorder="1" applyAlignment="1">
      <alignment wrapText="1"/>
    </xf>
    <xf numFmtId="170" fontId="6" fillId="0" borderId="0" xfId="15" applyFont="1" applyBorder="1" applyAlignment="1" applyProtection="1">
      <alignment horizontal="right" vertical="center"/>
      <protection/>
    </xf>
    <xf numFmtId="164" fontId="19" fillId="0" borderId="0" xfId="0" applyFont="1" applyBorder="1" applyAlignment="1" applyProtection="1">
      <alignment horizontal="left" vertical="center"/>
      <protection/>
    </xf>
    <xf numFmtId="177" fontId="2" fillId="0" borderId="0" xfId="0" applyNumberFormat="1" applyFont="1" applyBorder="1" applyAlignment="1">
      <alignment horizontal="center" vertical="center" wrapText="1"/>
    </xf>
    <xf numFmtId="164" fontId="0" fillId="0" borderId="0" xfId="0" applyFont="1" applyBorder="1" applyAlignment="1" applyProtection="1">
      <alignment vertical="center" wrapText="1"/>
      <protection locked="0"/>
    </xf>
    <xf numFmtId="164" fontId="16" fillId="8" borderId="0" xfId="0" applyFont="1" applyFill="1" applyBorder="1" applyAlignment="1" applyProtection="1">
      <alignment horizontal="left" vertical="center"/>
      <protection/>
    </xf>
    <xf numFmtId="164" fontId="13" fillId="0" borderId="35" xfId="0" applyFont="1" applyBorder="1" applyAlignment="1" applyProtection="1">
      <alignment vertical="center"/>
      <protection/>
    </xf>
    <xf numFmtId="170" fontId="18" fillId="0" borderId="0" xfId="15" applyFont="1" applyBorder="1" applyAlignment="1" applyProtection="1">
      <alignment horizontal="right" vertical="center"/>
      <protection locked="0"/>
    </xf>
  </cellXfs>
  <cellStyles count="7">
    <cellStyle name="Normal" xfId="0"/>
    <cellStyle name="Comma" xfId="15"/>
    <cellStyle name="Comma [0]" xfId="16"/>
    <cellStyle name="Currency" xfId="17"/>
    <cellStyle name="Currency [0]" xfId="18"/>
    <cellStyle name="Percent" xfId="19"/>
    <cellStyle name="Excel Built-in Explanatory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008080"/>
      <rgbColor rgb="00C0C0C0"/>
      <rgbColor rgb="00808080"/>
      <rgbColor rgb="009999FF"/>
      <rgbColor rgb="00993366"/>
      <rgbColor rgb="00FFFFCC"/>
      <rgbColor rgb="00CCFFFF"/>
      <rgbColor rgb="00660066"/>
      <rgbColor rgb="00FF8080"/>
      <rgbColor rgb="000066CC"/>
      <rgbColor rgb="00D7E4BC"/>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66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142875</xdr:rowOff>
    </xdr:from>
    <xdr:to>
      <xdr:col>1</xdr:col>
      <xdr:colOff>38100</xdr:colOff>
      <xdr:row>0</xdr:row>
      <xdr:rowOff>1162050</xdr:rowOff>
    </xdr:to>
    <xdr:pic>
      <xdr:nvPicPr>
        <xdr:cNvPr id="1" name="Imagem 358"/>
        <xdr:cNvPicPr preferRelativeResize="1">
          <a:picLocks noChangeAspect="1"/>
        </xdr:cNvPicPr>
      </xdr:nvPicPr>
      <xdr:blipFill>
        <a:blip r:embed="rId1"/>
        <a:stretch>
          <a:fillRect/>
        </a:stretch>
      </xdr:blipFill>
      <xdr:spPr>
        <a:xfrm>
          <a:off x="76200" y="142875"/>
          <a:ext cx="533400" cy="1019175"/>
        </a:xfrm>
        <a:prstGeom prst="rect">
          <a:avLst/>
        </a:prstGeom>
        <a:blipFill>
          <a:blip r:embed=""/>
          <a:srcRect/>
          <a:stretch>
            <a:fillRect/>
          </a:stretch>
        </a:blipFill>
        <a:ln w="9525" cmpd="sng">
          <a:noFill/>
        </a:ln>
      </xdr:spPr>
    </xdr:pic>
    <xdr:clientData/>
  </xdr:twoCellAnchor>
  <xdr:twoCellAnchor>
    <xdr:from>
      <xdr:col>17</xdr:col>
      <xdr:colOff>0</xdr:colOff>
      <xdr:row>0</xdr:row>
      <xdr:rowOff>123825</xdr:rowOff>
    </xdr:from>
    <xdr:to>
      <xdr:col>17</xdr:col>
      <xdr:colOff>876300</xdr:colOff>
      <xdr:row>0</xdr:row>
      <xdr:rowOff>962025</xdr:rowOff>
    </xdr:to>
    <xdr:pic>
      <xdr:nvPicPr>
        <xdr:cNvPr id="2" name="Imagem 359"/>
        <xdr:cNvPicPr preferRelativeResize="1">
          <a:picLocks noChangeAspect="1"/>
        </xdr:cNvPicPr>
      </xdr:nvPicPr>
      <xdr:blipFill>
        <a:blip r:embed="rId2"/>
        <a:stretch>
          <a:fillRect/>
        </a:stretch>
      </xdr:blipFill>
      <xdr:spPr>
        <a:xfrm>
          <a:off x="9877425" y="123825"/>
          <a:ext cx="876300" cy="838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47"/>
  <sheetViews>
    <sheetView tabSelected="1" view="pageBreakPreview" zoomScale="75" zoomScaleSheetLayoutView="75" workbookViewId="0" topLeftCell="A25">
      <selection activeCell="A8" sqref="A8"/>
    </sheetView>
  </sheetViews>
  <sheetFormatPr defaultColWidth="8.00390625" defaultRowHeight="12.75"/>
  <cols>
    <col min="1" max="1" width="8.57421875" style="0" customWidth="1"/>
    <col min="2" max="8" width="8.421875" style="0" customWidth="1"/>
    <col min="9" max="9" width="9.8515625" style="0" customWidth="1"/>
    <col min="10" max="10" width="1.7109375" style="0" customWidth="1"/>
    <col min="11" max="11" width="0" style="0" hidden="1" customWidth="1"/>
    <col min="12" max="12" width="10.28125" style="0" customWidth="1"/>
    <col min="13" max="13" width="8.421875" style="0" customWidth="1"/>
    <col min="14" max="14" width="12.421875" style="0" customWidth="1"/>
    <col min="15" max="15" width="8.8515625" style="0" customWidth="1"/>
    <col min="16" max="16" width="12.57421875" style="0" customWidth="1"/>
    <col min="17" max="17" width="16.421875" style="0" customWidth="1"/>
    <col min="18" max="18" width="13.57421875" style="0" customWidth="1"/>
    <col min="19" max="20" width="8.421875" style="0" customWidth="1"/>
    <col min="21" max="21" width="10.8515625" style="0" customWidth="1"/>
    <col min="22" max="16384" width="8.421875" style="0" customWidth="1"/>
  </cols>
  <sheetData>
    <row r="1" spans="1:18" ht="96" customHeight="1">
      <c r="A1" s="1" t="s">
        <v>0</v>
      </c>
      <c r="B1" s="1"/>
      <c r="C1" s="1"/>
      <c r="D1" s="1"/>
      <c r="E1" s="1"/>
      <c r="F1" s="1"/>
      <c r="G1" s="1"/>
      <c r="H1" s="1"/>
      <c r="I1" s="1"/>
      <c r="J1" s="1"/>
      <c r="K1" s="1"/>
      <c r="L1" s="1"/>
      <c r="M1" s="1"/>
      <c r="N1" s="1"/>
      <c r="O1" s="1"/>
      <c r="P1" s="1"/>
      <c r="Q1" s="1"/>
      <c r="R1" s="1"/>
    </row>
    <row r="2" spans="1:18" ht="12.75" customHeight="1">
      <c r="A2" s="2" t="s">
        <v>1</v>
      </c>
      <c r="B2" s="2"/>
      <c r="C2" s="2"/>
      <c r="D2" s="2"/>
      <c r="E2" s="2"/>
      <c r="F2" s="3" t="s">
        <v>2</v>
      </c>
      <c r="G2" s="3"/>
      <c r="H2" s="3"/>
      <c r="I2" s="3"/>
      <c r="J2" s="3"/>
      <c r="K2" s="3"/>
      <c r="L2" s="3" t="s">
        <v>3</v>
      </c>
      <c r="M2" s="3"/>
      <c r="N2" s="3"/>
      <c r="O2" s="3"/>
      <c r="Q2" t="s">
        <v>4</v>
      </c>
      <c r="R2" s="4"/>
    </row>
    <row r="3" spans="1:18" ht="12.75" customHeight="1">
      <c r="A3" s="5"/>
      <c r="B3" s="5"/>
      <c r="C3" s="6"/>
      <c r="D3" s="5"/>
      <c r="E3" s="6"/>
      <c r="F3" s="7" t="s">
        <v>5</v>
      </c>
      <c r="G3" s="7"/>
      <c r="H3" s="7"/>
      <c r="I3" s="7"/>
      <c r="J3" s="7"/>
      <c r="K3" s="8"/>
      <c r="R3" s="4"/>
    </row>
    <row r="4" spans="1:18" ht="12.75" customHeight="1">
      <c r="A4" s="9" t="s">
        <v>6</v>
      </c>
      <c r="B4" s="9"/>
      <c r="C4" s="9"/>
      <c r="D4" s="9"/>
      <c r="E4" s="9"/>
      <c r="F4" s="10" t="s">
        <v>7</v>
      </c>
      <c r="G4" s="10"/>
      <c r="H4" s="10"/>
      <c r="I4" s="10"/>
      <c r="J4" s="10"/>
      <c r="K4" s="10"/>
      <c r="R4" s="4"/>
    </row>
    <row r="5" spans="1:18" ht="12.75" customHeight="1">
      <c r="A5" s="9" t="s">
        <v>8</v>
      </c>
      <c r="B5" s="9"/>
      <c r="C5" s="9"/>
      <c r="D5" s="9"/>
      <c r="E5" s="9"/>
      <c r="F5" s="9"/>
      <c r="G5" s="9"/>
      <c r="H5" s="9"/>
      <c r="I5" s="8"/>
      <c r="J5" s="11"/>
      <c r="K5" s="11"/>
      <c r="R5" s="4"/>
    </row>
    <row r="6" spans="1:18" ht="12.75" customHeight="1">
      <c r="A6" s="9" t="s">
        <v>9</v>
      </c>
      <c r="B6" s="9"/>
      <c r="C6" s="9"/>
      <c r="D6" s="9"/>
      <c r="E6" s="9"/>
      <c r="F6" s="12"/>
      <c r="G6" s="10"/>
      <c r="H6" s="10"/>
      <c r="I6" s="10"/>
      <c r="J6" t="s">
        <v>10</v>
      </c>
      <c r="K6" s="8"/>
      <c r="R6" s="4"/>
    </row>
    <row r="7" spans="1:18" ht="12.75" customHeight="1">
      <c r="A7" s="13" t="s">
        <v>11</v>
      </c>
      <c r="B7" s="13"/>
      <c r="C7" s="13"/>
      <c r="D7" s="13"/>
      <c r="E7" s="14" t="s">
        <v>12</v>
      </c>
      <c r="F7" s="14"/>
      <c r="G7" s="15"/>
      <c r="H7" s="16"/>
      <c r="I7" s="17"/>
      <c r="J7" s="18"/>
      <c r="K7" s="19"/>
      <c r="L7" s="13" t="s">
        <v>13</v>
      </c>
      <c r="M7" s="13"/>
      <c r="N7" s="17">
        <v>0.12</v>
      </c>
      <c r="O7" s="18"/>
      <c r="P7" s="19" t="s">
        <v>14</v>
      </c>
      <c r="Q7" s="17">
        <v>0.2644</v>
      </c>
      <c r="R7" s="4"/>
    </row>
    <row r="8" spans="1:18" ht="12.75" customHeight="1">
      <c r="A8" s="20"/>
      <c r="B8" s="20"/>
      <c r="C8" s="20"/>
      <c r="D8" s="20"/>
      <c r="E8" s="20"/>
      <c r="F8" s="20"/>
      <c r="G8" s="20"/>
      <c r="H8" s="20"/>
      <c r="I8" s="20"/>
      <c r="J8" s="20"/>
      <c r="K8" s="20"/>
      <c r="L8" s="20"/>
      <c r="M8" s="20"/>
      <c r="N8" s="20"/>
      <c r="O8" s="20"/>
      <c r="P8" s="20"/>
      <c r="Q8" s="20"/>
      <c r="R8" s="20"/>
    </row>
    <row r="9" spans="1:18" ht="12.75" customHeight="1">
      <c r="A9" s="21" t="s">
        <v>15</v>
      </c>
      <c r="B9" s="22" t="s">
        <v>16</v>
      </c>
      <c r="C9" s="22"/>
      <c r="D9" s="22"/>
      <c r="E9" s="22"/>
      <c r="F9" s="22"/>
      <c r="G9" s="22"/>
      <c r="H9" s="22"/>
      <c r="I9" s="22"/>
      <c r="J9" s="22"/>
      <c r="K9" s="22"/>
      <c r="L9" s="23" t="s">
        <v>17</v>
      </c>
      <c r="M9" s="22" t="s">
        <v>18</v>
      </c>
      <c r="N9" s="24" t="s">
        <v>19</v>
      </c>
      <c r="O9" s="24"/>
      <c r="P9" s="24"/>
      <c r="Q9" s="25" t="s">
        <v>20</v>
      </c>
      <c r="R9" s="26" t="s">
        <v>21</v>
      </c>
    </row>
    <row r="10" spans="1:18" ht="25.5" customHeight="1">
      <c r="A10" s="21"/>
      <c r="B10" s="22"/>
      <c r="C10" s="22"/>
      <c r="D10" s="22"/>
      <c r="E10" s="22"/>
      <c r="F10" s="22"/>
      <c r="G10" s="22"/>
      <c r="H10" s="22"/>
      <c r="I10" s="22"/>
      <c r="J10" s="22"/>
      <c r="K10" s="22"/>
      <c r="L10" s="23"/>
      <c r="M10" s="22"/>
      <c r="N10" s="27" t="s">
        <v>22</v>
      </c>
      <c r="O10" s="28" t="s">
        <v>23</v>
      </c>
      <c r="P10" s="27" t="s">
        <v>24</v>
      </c>
      <c r="Q10" s="25"/>
      <c r="R10" s="26"/>
    </row>
    <row r="11" spans="1:18" ht="25.5" customHeight="1">
      <c r="A11" s="29">
        <v>1</v>
      </c>
      <c r="B11" s="30" t="s">
        <v>25</v>
      </c>
      <c r="C11" s="30"/>
      <c r="D11" s="30"/>
      <c r="E11" s="30"/>
      <c r="F11" s="30"/>
      <c r="G11" s="30"/>
      <c r="H11" s="30"/>
      <c r="I11" s="30"/>
      <c r="J11" s="30"/>
      <c r="K11" s="30"/>
      <c r="L11" s="30"/>
      <c r="M11" s="30"/>
      <c r="N11" s="30"/>
      <c r="O11" s="30"/>
      <c r="P11" s="30"/>
      <c r="Q11" s="31">
        <f>Q12+Q13</f>
        <v>23418.066196000003</v>
      </c>
      <c r="R11" s="31" t="s">
        <v>26</v>
      </c>
    </row>
    <row r="12" spans="1:18" ht="18" customHeight="1">
      <c r="A12" s="32" t="s">
        <v>27</v>
      </c>
      <c r="B12" s="33" t="s">
        <v>28</v>
      </c>
      <c r="C12" s="33"/>
      <c r="D12" s="33"/>
      <c r="E12" s="33"/>
      <c r="F12" s="33"/>
      <c r="G12" s="33"/>
      <c r="H12" s="33"/>
      <c r="I12" s="33"/>
      <c r="J12" s="33"/>
      <c r="K12" s="33"/>
      <c r="L12" s="34">
        <v>5</v>
      </c>
      <c r="M12" s="35" t="s">
        <v>29</v>
      </c>
      <c r="N12" s="36">
        <v>313.62</v>
      </c>
      <c r="O12" s="37">
        <f aca="true" t="shared" si="0" ref="O12:O13">1+$Q$7</f>
        <v>1.2644</v>
      </c>
      <c r="P12" s="36">
        <f aca="true" t="shared" si="1" ref="P12:P13">O12*N12</f>
        <v>396.541128</v>
      </c>
      <c r="Q12" s="36">
        <f aca="true" t="shared" si="2" ref="Q12:Q13">P12*L12</f>
        <v>1982.7056400000001</v>
      </c>
      <c r="R12" s="38" t="s">
        <v>30</v>
      </c>
    </row>
    <row r="13" spans="1:18" ht="53.25" customHeight="1">
      <c r="A13" s="32" t="s">
        <v>31</v>
      </c>
      <c r="B13" s="39" t="s">
        <v>32</v>
      </c>
      <c r="C13" s="39"/>
      <c r="D13" s="39"/>
      <c r="E13" s="39"/>
      <c r="F13" s="39"/>
      <c r="G13" s="39"/>
      <c r="H13" s="39"/>
      <c r="I13" s="39"/>
      <c r="J13" s="39"/>
      <c r="K13" s="39"/>
      <c r="L13" s="34">
        <v>1</v>
      </c>
      <c r="M13" s="35" t="s">
        <v>33</v>
      </c>
      <c r="N13" s="36">
        <v>16952.99</v>
      </c>
      <c r="O13" s="37">
        <f t="shared" si="0"/>
        <v>1.2644</v>
      </c>
      <c r="P13" s="36">
        <f t="shared" si="1"/>
        <v>21435.360556000003</v>
      </c>
      <c r="Q13" s="36">
        <f t="shared" si="2"/>
        <v>21435.360556000003</v>
      </c>
      <c r="R13" s="38" t="s">
        <v>34</v>
      </c>
    </row>
    <row r="14" spans="1:18" ht="14.25" customHeight="1">
      <c r="A14" s="40">
        <v>2</v>
      </c>
      <c r="B14" s="30" t="s">
        <v>35</v>
      </c>
      <c r="C14" s="30"/>
      <c r="D14" s="30"/>
      <c r="E14" s="30"/>
      <c r="F14" s="30"/>
      <c r="G14" s="30"/>
      <c r="H14" s="30"/>
      <c r="I14" s="30"/>
      <c r="J14" s="30"/>
      <c r="K14" s="30"/>
      <c r="L14" s="30"/>
      <c r="M14" s="30"/>
      <c r="N14" s="30"/>
      <c r="O14" s="30"/>
      <c r="P14" s="41"/>
      <c r="Q14" s="31">
        <f>SUM(Q15:Q41)</f>
        <v>436663.8036843515</v>
      </c>
      <c r="R14" s="42" t="s">
        <v>26</v>
      </c>
    </row>
    <row r="15" spans="1:18" ht="30" customHeight="1">
      <c r="A15" s="43" t="s">
        <v>36</v>
      </c>
      <c r="B15" s="44" t="s">
        <v>37</v>
      </c>
      <c r="C15" s="44"/>
      <c r="D15" s="44"/>
      <c r="E15" s="44"/>
      <c r="F15" s="44"/>
      <c r="G15" s="44"/>
      <c r="H15" s="44"/>
      <c r="I15" s="44"/>
      <c r="J15" s="44"/>
      <c r="K15" s="44"/>
      <c r="L15" s="34">
        <v>1331</v>
      </c>
      <c r="M15" s="45" t="s">
        <v>38</v>
      </c>
      <c r="N15" s="36">
        <v>1.91</v>
      </c>
      <c r="O15" s="37">
        <f aca="true" t="shared" si="3" ref="O15:O31">1+$Q$7</f>
        <v>1.2644</v>
      </c>
      <c r="P15" s="36">
        <f aca="true" t="shared" si="4" ref="P15:P41">O15*N15</f>
        <v>2.4150039999999997</v>
      </c>
      <c r="Q15" s="36">
        <f aca="true" t="shared" si="5" ref="Q15:Q41">P15*L15</f>
        <v>3214.3703239999995</v>
      </c>
      <c r="R15" s="38">
        <v>73679</v>
      </c>
    </row>
    <row r="16" spans="1:18" ht="38.25" customHeight="1">
      <c r="A16" s="43" t="s">
        <v>39</v>
      </c>
      <c r="B16" s="44" t="s">
        <v>40</v>
      </c>
      <c r="C16" s="44"/>
      <c r="D16" s="44"/>
      <c r="E16" s="44"/>
      <c r="F16" s="44"/>
      <c r="G16" s="44"/>
      <c r="H16" s="44"/>
      <c r="I16" s="44"/>
      <c r="J16" s="44"/>
      <c r="K16" s="44"/>
      <c r="L16" s="34">
        <f>L15*1</f>
        <v>1331</v>
      </c>
      <c r="M16" s="45" t="s">
        <v>41</v>
      </c>
      <c r="N16" s="36">
        <v>1.62</v>
      </c>
      <c r="O16" s="37">
        <f t="shared" si="3"/>
        <v>1.2644</v>
      </c>
      <c r="P16" s="36">
        <f t="shared" si="4"/>
        <v>2.048328</v>
      </c>
      <c r="Q16" s="36">
        <f t="shared" si="5"/>
        <v>2726.324568</v>
      </c>
      <c r="R16" s="38" t="s">
        <v>42</v>
      </c>
    </row>
    <row r="17" spans="1:18" ht="66.75" customHeight="1">
      <c r="A17" s="43" t="s">
        <v>43</v>
      </c>
      <c r="B17" s="39" t="s">
        <v>44</v>
      </c>
      <c r="C17" s="39"/>
      <c r="D17" s="39"/>
      <c r="E17" s="39"/>
      <c r="F17" s="39"/>
      <c r="G17" s="39"/>
      <c r="H17" s="39"/>
      <c r="I17" s="39"/>
      <c r="J17" s="39"/>
      <c r="K17" s="39"/>
      <c r="L17" s="34">
        <f>(L15-200)*1*1.5</f>
        <v>1696.5</v>
      </c>
      <c r="M17" s="45" t="s">
        <v>45</v>
      </c>
      <c r="N17" s="36">
        <v>8.21</v>
      </c>
      <c r="O17" s="37">
        <f t="shared" si="3"/>
        <v>1.2644</v>
      </c>
      <c r="P17" s="36">
        <f t="shared" si="4"/>
        <v>10.380724</v>
      </c>
      <c r="Q17" s="36">
        <f t="shared" si="5"/>
        <v>17610.898266</v>
      </c>
      <c r="R17" s="38">
        <v>90100</v>
      </c>
    </row>
    <row r="18" spans="1:18" ht="71.25" customHeight="1">
      <c r="A18" s="43" t="s">
        <v>46</v>
      </c>
      <c r="B18" t="s">
        <v>47</v>
      </c>
      <c r="C18" s="39"/>
      <c r="D18" s="39"/>
      <c r="E18" s="39"/>
      <c r="F18" s="39"/>
      <c r="G18" s="39"/>
      <c r="H18" s="39"/>
      <c r="I18" s="39"/>
      <c r="J18" s="39"/>
      <c r="K18" s="39"/>
      <c r="L18" s="34">
        <f>(1.5+2.5)*75/2*1+2.5*75*1+(2.5+3)*25/2*1</f>
        <v>406.25</v>
      </c>
      <c r="M18" s="45" t="s">
        <v>45</v>
      </c>
      <c r="N18" s="36">
        <v>7.37</v>
      </c>
      <c r="O18" s="37">
        <f t="shared" si="3"/>
        <v>1.2644</v>
      </c>
      <c r="P18" s="36">
        <f t="shared" si="4"/>
        <v>9.318628</v>
      </c>
      <c r="Q18" s="36">
        <f t="shared" si="5"/>
        <v>3785.692625</v>
      </c>
      <c r="R18" s="38">
        <v>90102</v>
      </c>
    </row>
    <row r="19" spans="1:18" ht="73.5" customHeight="1">
      <c r="A19" s="43" t="s">
        <v>48</v>
      </c>
      <c r="B19" t="s">
        <v>49</v>
      </c>
      <c r="C19" s="39"/>
      <c r="D19" s="39"/>
      <c r="E19" s="39"/>
      <c r="F19" s="39"/>
      <c r="G19" s="39"/>
      <c r="H19" s="39"/>
      <c r="I19" s="39"/>
      <c r="J19" s="39"/>
      <c r="K19" s="39"/>
      <c r="L19" s="34">
        <f>25*(3.5+3)/2*1</f>
        <v>81.25</v>
      </c>
      <c r="M19" s="45" t="s">
        <v>45</v>
      </c>
      <c r="N19" s="36">
        <v>6.56</v>
      </c>
      <c r="O19" s="37">
        <f t="shared" si="3"/>
        <v>1.2644</v>
      </c>
      <c r="P19" s="36">
        <f t="shared" si="4"/>
        <v>8.294464</v>
      </c>
      <c r="Q19" s="36">
        <f t="shared" si="5"/>
        <v>673.9252</v>
      </c>
      <c r="R19" s="38">
        <v>90086</v>
      </c>
    </row>
    <row r="20" spans="1:18" ht="48.75" customHeight="1">
      <c r="A20" s="43" t="s">
        <v>50</v>
      </c>
      <c r="B20" s="44" t="s">
        <v>51</v>
      </c>
      <c r="C20" s="44"/>
      <c r="D20" s="44"/>
      <c r="E20" s="44"/>
      <c r="F20" s="44"/>
      <c r="G20" s="44"/>
      <c r="H20" s="44"/>
      <c r="I20" s="44"/>
      <c r="J20" s="44"/>
      <c r="K20" s="44"/>
      <c r="L20" s="34">
        <f>(L15-200)*1.5*2*0.5</f>
        <v>1696.5</v>
      </c>
      <c r="M20" s="45" t="s">
        <v>29</v>
      </c>
      <c r="N20" s="36">
        <v>14.93</v>
      </c>
      <c r="O20" s="37">
        <f t="shared" si="3"/>
        <v>1.2644</v>
      </c>
      <c r="P20" s="36">
        <f t="shared" si="4"/>
        <v>18.877492</v>
      </c>
      <c r="Q20" s="36">
        <f t="shared" si="5"/>
        <v>32025.665178</v>
      </c>
      <c r="R20" s="38">
        <v>94037</v>
      </c>
    </row>
    <row r="21" spans="1:18" ht="51.75" customHeight="1">
      <c r="A21" s="43" t="s">
        <v>52</v>
      </c>
      <c r="B21" s="44" t="s">
        <v>53</v>
      </c>
      <c r="C21" s="44"/>
      <c r="D21" s="44"/>
      <c r="E21" s="44"/>
      <c r="F21" s="44"/>
      <c r="G21" s="44"/>
      <c r="H21" s="44"/>
      <c r="I21" s="44"/>
      <c r="J21" s="44"/>
      <c r="K21" s="44"/>
      <c r="L21" s="34">
        <f aca="true" t="shared" si="6" ref="L21:L22">L18*2</f>
        <v>812.5</v>
      </c>
      <c r="M21" s="45" t="s">
        <v>29</v>
      </c>
      <c r="N21" s="36">
        <v>11.85</v>
      </c>
      <c r="O21" s="37">
        <f t="shared" si="3"/>
        <v>1.2644</v>
      </c>
      <c r="P21" s="36">
        <f t="shared" si="4"/>
        <v>14.983139999999999</v>
      </c>
      <c r="Q21" s="36">
        <f t="shared" si="5"/>
        <v>12173.801249999999</v>
      </c>
      <c r="R21" s="38">
        <v>94039</v>
      </c>
    </row>
    <row r="22" spans="1:18" ht="46.5" customHeight="1">
      <c r="A22" s="43" t="s">
        <v>54</v>
      </c>
      <c r="B22" s="46" t="s">
        <v>55</v>
      </c>
      <c r="C22" s="46"/>
      <c r="D22" s="46"/>
      <c r="E22" s="46"/>
      <c r="F22" s="46"/>
      <c r="G22" s="46"/>
      <c r="H22" s="46"/>
      <c r="I22" s="46"/>
      <c r="J22" s="46"/>
      <c r="K22" s="44"/>
      <c r="L22" s="34">
        <f t="shared" si="6"/>
        <v>162.5</v>
      </c>
      <c r="M22" s="45" t="s">
        <v>29</v>
      </c>
      <c r="N22" s="36">
        <v>9.28</v>
      </c>
      <c r="O22" s="37">
        <f t="shared" si="3"/>
        <v>1.2644</v>
      </c>
      <c r="P22" s="36">
        <f t="shared" si="4"/>
        <v>11.733631999999998</v>
      </c>
      <c r="Q22" s="36">
        <f t="shared" si="5"/>
        <v>1906.7151999999996</v>
      </c>
      <c r="R22" s="38">
        <v>94041</v>
      </c>
    </row>
    <row r="23" spans="1:18" ht="49.5" customHeight="1">
      <c r="A23" s="43" t="s">
        <v>56</v>
      </c>
      <c r="B23" s="39" t="s">
        <v>57</v>
      </c>
      <c r="C23" s="39"/>
      <c r="D23" s="39"/>
      <c r="E23" s="39"/>
      <c r="F23" s="39"/>
      <c r="G23" s="39"/>
      <c r="H23" s="39"/>
      <c r="I23" s="39"/>
      <c r="J23" s="39"/>
      <c r="K23" s="47">
        <f>K19*1*0.15</f>
        <v>0</v>
      </c>
      <c r="L23" s="34">
        <f>L15*1*0.1</f>
        <v>133.1</v>
      </c>
      <c r="M23" s="45" t="s">
        <v>45</v>
      </c>
      <c r="N23" s="36">
        <v>147.35</v>
      </c>
      <c r="O23" s="37">
        <f t="shared" si="3"/>
        <v>1.2644</v>
      </c>
      <c r="P23" s="36">
        <f t="shared" si="4"/>
        <v>186.30934</v>
      </c>
      <c r="Q23" s="36">
        <f t="shared" si="5"/>
        <v>24797.773154</v>
      </c>
      <c r="R23" s="38">
        <v>94104</v>
      </c>
    </row>
    <row r="24" spans="1:18" ht="22.5" customHeight="1">
      <c r="A24" s="43" t="s">
        <v>58</v>
      </c>
      <c r="B24" s="44" t="s">
        <v>59</v>
      </c>
      <c r="C24" s="44"/>
      <c r="D24" s="44"/>
      <c r="E24" s="44"/>
      <c r="F24" s="44"/>
      <c r="G24" s="44"/>
      <c r="H24" s="44"/>
      <c r="I24" s="44"/>
      <c r="J24" s="44"/>
      <c r="K24" s="44"/>
      <c r="L24" s="34">
        <f>L15*1*0.3-(3.1415*0.2^2*L15/4)</f>
        <v>357.4866350000001</v>
      </c>
      <c r="M24" s="45" t="s">
        <v>45</v>
      </c>
      <c r="N24" s="36">
        <v>20.48</v>
      </c>
      <c r="O24" s="37">
        <f t="shared" si="3"/>
        <v>1.2644</v>
      </c>
      <c r="P24" s="36">
        <f t="shared" si="4"/>
        <v>25.894912</v>
      </c>
      <c r="Q24" s="36">
        <f t="shared" si="5"/>
        <v>9257.084954501122</v>
      </c>
      <c r="R24" s="38">
        <v>96995</v>
      </c>
    </row>
    <row r="25" spans="1:18" ht="59.25" customHeight="1">
      <c r="A25" s="43" t="s">
        <v>60</v>
      </c>
      <c r="B25" s="44" t="s">
        <v>61</v>
      </c>
      <c r="C25" s="44"/>
      <c r="D25" s="44"/>
      <c r="E25" s="44"/>
      <c r="F25" s="44"/>
      <c r="G25" s="44"/>
      <c r="H25" s="44"/>
      <c r="I25" s="44"/>
      <c r="J25" s="44"/>
      <c r="K25" s="44"/>
      <c r="L25" s="34">
        <f>L17-(L15-200)*0.3-(L15-200-200)*0.2</f>
        <v>1170.9999999999998</v>
      </c>
      <c r="M25" s="45" t="s">
        <v>45</v>
      </c>
      <c r="N25" s="36">
        <v>12.97</v>
      </c>
      <c r="O25" s="37">
        <f t="shared" si="3"/>
        <v>1.2644</v>
      </c>
      <c r="P25" s="36">
        <f t="shared" si="4"/>
        <v>16.399268</v>
      </c>
      <c r="Q25" s="36">
        <f t="shared" si="5"/>
        <v>19203.542827999994</v>
      </c>
      <c r="R25" s="38">
        <v>93375</v>
      </c>
    </row>
    <row r="26" spans="1:18" ht="59.25" customHeight="1">
      <c r="A26" s="43" t="s">
        <v>62</v>
      </c>
      <c r="B26" s="44" t="s">
        <v>63</v>
      </c>
      <c r="C26" s="44"/>
      <c r="D26" s="44"/>
      <c r="E26" s="44"/>
      <c r="F26" s="44"/>
      <c r="G26" s="44"/>
      <c r="H26" s="44"/>
      <c r="I26" s="44"/>
      <c r="J26" s="44"/>
      <c r="K26" s="44"/>
      <c r="L26" s="34">
        <f>L18-(75+75+25)*(0.3+0.2)</f>
        <v>318.75</v>
      </c>
      <c r="M26" s="45" t="s">
        <v>45</v>
      </c>
      <c r="N26" s="36">
        <v>10.2</v>
      </c>
      <c r="O26" s="37">
        <f t="shared" si="3"/>
        <v>1.2644</v>
      </c>
      <c r="P26" s="36">
        <f t="shared" si="4"/>
        <v>12.89688</v>
      </c>
      <c r="Q26" s="36">
        <f t="shared" si="5"/>
        <v>4110.8805</v>
      </c>
      <c r="R26" s="38">
        <v>93368</v>
      </c>
    </row>
    <row r="27" spans="1:18" ht="60" customHeight="1">
      <c r="A27" s="43" t="s">
        <v>64</v>
      </c>
      <c r="B27" s="44" t="s">
        <v>65</v>
      </c>
      <c r="C27" s="44"/>
      <c r="D27" s="44"/>
      <c r="E27" s="44"/>
      <c r="F27" s="44"/>
      <c r="G27" s="44"/>
      <c r="H27" s="44"/>
      <c r="I27" s="44"/>
      <c r="J27" s="44"/>
      <c r="K27" s="44"/>
      <c r="L27" s="34">
        <f>L19-25*(0.3+0.2)</f>
        <v>68.75</v>
      </c>
      <c r="M27" s="45" t="s">
        <v>45</v>
      </c>
      <c r="N27" s="36">
        <v>7.74</v>
      </c>
      <c r="O27" s="37">
        <f t="shared" si="3"/>
        <v>1.2644</v>
      </c>
      <c r="P27" s="36">
        <f t="shared" si="4"/>
        <v>9.786456</v>
      </c>
      <c r="Q27" s="36">
        <f t="shared" si="5"/>
        <v>672.81885</v>
      </c>
      <c r="R27" s="38">
        <v>93370</v>
      </c>
    </row>
    <row r="28" spans="1:18" ht="39" customHeight="1">
      <c r="A28" s="43" t="s">
        <v>66</v>
      </c>
      <c r="B28" s="44" t="s">
        <v>67</v>
      </c>
      <c r="C28" s="44"/>
      <c r="D28" s="44"/>
      <c r="E28" s="44"/>
      <c r="F28" s="44"/>
      <c r="G28" s="44"/>
      <c r="H28" s="44"/>
      <c r="I28" s="44"/>
      <c r="J28" s="44"/>
      <c r="K28" s="44"/>
      <c r="L28" s="34">
        <f>L24+L25+L26+L27</f>
        <v>1915.9866349999998</v>
      </c>
      <c r="M28" s="45" t="s">
        <v>45</v>
      </c>
      <c r="N28" s="36">
        <v>1.07</v>
      </c>
      <c r="O28" s="37">
        <f t="shared" si="3"/>
        <v>1.2644</v>
      </c>
      <c r="P28" s="36">
        <f t="shared" si="4"/>
        <v>1.352908</v>
      </c>
      <c r="Q28" s="36">
        <f t="shared" si="5"/>
        <v>2592.1536463845796</v>
      </c>
      <c r="R28" s="38">
        <v>95606</v>
      </c>
    </row>
    <row r="29" spans="1:18" ht="40.5" customHeight="1">
      <c r="A29" s="43" t="s">
        <v>68</v>
      </c>
      <c r="B29" s="44" t="s">
        <v>69</v>
      </c>
      <c r="C29" s="44"/>
      <c r="D29" s="44"/>
      <c r="E29" s="44"/>
      <c r="F29" s="44"/>
      <c r="G29" s="44"/>
      <c r="H29" s="44"/>
      <c r="I29" s="44"/>
      <c r="J29" s="44"/>
      <c r="K29" s="44"/>
      <c r="L29" s="34">
        <f>L25+L26+L27</f>
        <v>1558.4999999999998</v>
      </c>
      <c r="M29" s="45" t="s">
        <v>45</v>
      </c>
      <c r="N29" s="36">
        <v>3.71</v>
      </c>
      <c r="O29" s="37">
        <f t="shared" si="3"/>
        <v>1.2644</v>
      </c>
      <c r="P29" s="36">
        <f t="shared" si="4"/>
        <v>4.690924</v>
      </c>
      <c r="Q29" s="36">
        <f t="shared" si="5"/>
        <v>7310.805053999999</v>
      </c>
      <c r="R29" s="38" t="s">
        <v>70</v>
      </c>
    </row>
    <row r="30" spans="1:18" ht="39" customHeight="1">
      <c r="A30" s="43" t="s">
        <v>71</v>
      </c>
      <c r="B30" s="44" t="s">
        <v>72</v>
      </c>
      <c r="C30" s="44"/>
      <c r="D30" s="44"/>
      <c r="E30" s="44"/>
      <c r="F30" s="44"/>
      <c r="G30" s="44"/>
      <c r="H30" s="44"/>
      <c r="I30" s="44"/>
      <c r="J30" s="44"/>
      <c r="K30" s="44"/>
      <c r="L30" s="34">
        <f>((L17+L18+L19)-(L24+L25+L26+L27))*1.3</f>
        <v>348.41737450000034</v>
      </c>
      <c r="M30" s="45" t="s">
        <v>45</v>
      </c>
      <c r="N30" s="36">
        <v>1.1</v>
      </c>
      <c r="O30" s="37">
        <f t="shared" si="3"/>
        <v>1.2644</v>
      </c>
      <c r="P30" s="36">
        <f t="shared" si="4"/>
        <v>1.39084</v>
      </c>
      <c r="Q30" s="36">
        <f t="shared" si="5"/>
        <v>484.5928211495805</v>
      </c>
      <c r="R30" s="38">
        <v>72888</v>
      </c>
    </row>
    <row r="31" spans="1:18" ht="33.75" customHeight="1">
      <c r="A31" s="43" t="s">
        <v>73</v>
      </c>
      <c r="B31" s="44" t="s">
        <v>74</v>
      </c>
      <c r="C31" s="44"/>
      <c r="D31" s="44"/>
      <c r="E31" s="44"/>
      <c r="F31" s="44"/>
      <c r="G31" s="44"/>
      <c r="H31" s="44"/>
      <c r="I31" s="44"/>
      <c r="J31" s="44"/>
      <c r="K31" s="44"/>
      <c r="L31" s="34">
        <f>L30</f>
        <v>348.41737450000034</v>
      </c>
      <c r="M31" s="45" t="s">
        <v>45</v>
      </c>
      <c r="N31" s="36">
        <v>0.79</v>
      </c>
      <c r="O31" s="37">
        <f t="shared" si="3"/>
        <v>1.2644</v>
      </c>
      <c r="P31" s="36">
        <f t="shared" si="4"/>
        <v>0.998876</v>
      </c>
      <c r="Q31" s="36">
        <f t="shared" si="5"/>
        <v>348.0257533710623</v>
      </c>
      <c r="R31" s="38">
        <v>83344</v>
      </c>
    </row>
    <row r="32" spans="1:18" ht="32.25" customHeight="1">
      <c r="A32" s="43" t="s">
        <v>75</v>
      </c>
      <c r="B32" s="33" t="s">
        <v>76</v>
      </c>
      <c r="C32" s="33"/>
      <c r="D32" s="33"/>
      <c r="E32" s="33"/>
      <c r="F32" s="33"/>
      <c r="G32" s="33"/>
      <c r="H32" s="33"/>
      <c r="I32" s="33"/>
      <c r="J32" s="33"/>
      <c r="K32" s="33"/>
      <c r="L32" s="48">
        <v>1331</v>
      </c>
      <c r="M32" s="35" t="s">
        <v>77</v>
      </c>
      <c r="N32" s="36">
        <v>119.08</v>
      </c>
      <c r="O32" s="37">
        <v>1.12</v>
      </c>
      <c r="P32" s="36">
        <f t="shared" si="4"/>
        <v>133.36960000000002</v>
      </c>
      <c r="Q32" s="36">
        <f t="shared" si="5"/>
        <v>177514.93760000003</v>
      </c>
      <c r="R32" s="38">
        <v>9829</v>
      </c>
    </row>
    <row r="33" spans="1:18" ht="58.5" customHeight="1">
      <c r="A33" s="43" t="s">
        <v>78</v>
      </c>
      <c r="B33" s="33" t="s">
        <v>79</v>
      </c>
      <c r="C33" s="33"/>
      <c r="D33" s="33"/>
      <c r="E33" s="33"/>
      <c r="F33" s="33"/>
      <c r="G33" s="33"/>
      <c r="H33" s="33"/>
      <c r="I33" s="33"/>
      <c r="J33" s="33"/>
      <c r="K33" s="33"/>
      <c r="L33" s="34">
        <f>L15</f>
        <v>1331</v>
      </c>
      <c r="M33" s="45" t="s">
        <v>38</v>
      </c>
      <c r="N33" s="36">
        <v>9.8</v>
      </c>
      <c r="O33" s="37">
        <f aca="true" t="shared" si="7" ref="O33:O41">1+$Q$7</f>
        <v>1.2644</v>
      </c>
      <c r="P33" s="36">
        <f t="shared" si="4"/>
        <v>12.39112</v>
      </c>
      <c r="Q33" s="36">
        <f t="shared" si="5"/>
        <v>16492.58072</v>
      </c>
      <c r="R33" s="38">
        <v>97130</v>
      </c>
    </row>
    <row r="34" spans="1:18" ht="35.25" customHeight="1">
      <c r="A34" s="43" t="s">
        <v>58</v>
      </c>
      <c r="B34" s="33" t="s">
        <v>80</v>
      </c>
      <c r="C34" s="33"/>
      <c r="D34" s="33"/>
      <c r="E34" s="33"/>
      <c r="F34" s="33"/>
      <c r="G34" s="33"/>
      <c r="H34" s="33"/>
      <c r="I34" s="33"/>
      <c r="J34" s="33"/>
      <c r="K34" s="33"/>
      <c r="L34" s="49">
        <f>L15*9.3/1000</f>
        <v>12.378300000000001</v>
      </c>
      <c r="M34" s="45" t="s">
        <v>81</v>
      </c>
      <c r="N34" s="36">
        <v>10.07</v>
      </c>
      <c r="O34" s="37">
        <f t="shared" si="7"/>
        <v>1.2644</v>
      </c>
      <c r="P34" s="36">
        <f t="shared" si="4"/>
        <v>12.732508</v>
      </c>
      <c r="Q34" s="36">
        <f t="shared" si="5"/>
        <v>157.6068037764</v>
      </c>
      <c r="R34" s="38">
        <v>72850</v>
      </c>
    </row>
    <row r="35" spans="1:18" ht="52.5" customHeight="1">
      <c r="A35" s="43" t="s">
        <v>82</v>
      </c>
      <c r="B35" s="44" t="s">
        <v>83</v>
      </c>
      <c r="C35" s="44"/>
      <c r="D35" s="44"/>
      <c r="E35" s="44"/>
      <c r="F35" s="44"/>
      <c r="G35" s="44"/>
      <c r="H35" s="44"/>
      <c r="I35" s="44"/>
      <c r="J35" s="44"/>
      <c r="K35" s="44"/>
      <c r="L35" s="34">
        <v>339</v>
      </c>
      <c r="M35" s="45" t="s">
        <v>84</v>
      </c>
      <c r="N35" s="36">
        <v>1.32</v>
      </c>
      <c r="O35" s="37">
        <f t="shared" si="7"/>
        <v>1.2644</v>
      </c>
      <c r="P35" s="36">
        <f t="shared" si="4"/>
        <v>1.669008</v>
      </c>
      <c r="Q35" s="36">
        <f t="shared" si="5"/>
        <v>565.793712</v>
      </c>
      <c r="R35" s="38">
        <v>83724</v>
      </c>
    </row>
    <row r="36" spans="1:18" ht="23.25" customHeight="1">
      <c r="A36" s="43" t="s">
        <v>85</v>
      </c>
      <c r="B36" s="44" t="s">
        <v>86</v>
      </c>
      <c r="C36" s="44"/>
      <c r="D36" s="44"/>
      <c r="E36" s="44"/>
      <c r="F36" s="44"/>
      <c r="G36" s="44"/>
      <c r="H36" s="44"/>
      <c r="I36" s="44"/>
      <c r="J36" s="44"/>
      <c r="K36" s="44"/>
      <c r="L36" s="34">
        <f>(L15-200)*0.15*1*30</f>
        <v>5089.5</v>
      </c>
      <c r="M36" s="45" t="s">
        <v>87</v>
      </c>
      <c r="N36" s="36">
        <v>0.75</v>
      </c>
      <c r="O36" s="37">
        <f t="shared" si="7"/>
        <v>1.2644</v>
      </c>
      <c r="P36" s="36">
        <f t="shared" si="4"/>
        <v>0.9482999999999999</v>
      </c>
      <c r="Q36" s="36">
        <f t="shared" si="5"/>
        <v>4826.37285</v>
      </c>
      <c r="R36" s="50">
        <v>83356</v>
      </c>
    </row>
    <row r="37" spans="1:18" ht="39" customHeight="1">
      <c r="A37" s="43" t="s">
        <v>88</v>
      </c>
      <c r="B37" s="44" t="s">
        <v>89</v>
      </c>
      <c r="C37" s="44"/>
      <c r="D37" s="44"/>
      <c r="E37" s="44"/>
      <c r="F37" s="44"/>
      <c r="G37" s="44"/>
      <c r="H37" s="44"/>
      <c r="I37" s="44"/>
      <c r="J37" s="44"/>
      <c r="K37" s="44"/>
      <c r="L37" s="34">
        <f>(L15-200)*0.15*1</f>
        <v>169.65</v>
      </c>
      <c r="M37" s="45" t="s">
        <v>45</v>
      </c>
      <c r="N37" s="36">
        <v>103.13</v>
      </c>
      <c r="O37" s="37">
        <f t="shared" si="7"/>
        <v>1.2644</v>
      </c>
      <c r="P37" s="36">
        <f t="shared" si="4"/>
        <v>130.397572</v>
      </c>
      <c r="Q37" s="36">
        <f t="shared" si="5"/>
        <v>22121.9480898</v>
      </c>
      <c r="R37" s="50">
        <v>96396</v>
      </c>
    </row>
    <row r="38" spans="1:18" ht="35.25" customHeight="1">
      <c r="A38" s="43" t="s">
        <v>90</v>
      </c>
      <c r="B38" s="44" t="s">
        <v>91</v>
      </c>
      <c r="C38" s="44"/>
      <c r="D38" s="44"/>
      <c r="E38" s="44"/>
      <c r="F38" s="44"/>
      <c r="G38" s="44"/>
      <c r="H38" s="44"/>
      <c r="I38" s="44"/>
      <c r="J38" s="44"/>
      <c r="K38" s="44"/>
      <c r="L38" s="34">
        <f>(L15-200)*1</f>
        <v>1131</v>
      </c>
      <c r="M38" s="45" t="s">
        <v>29</v>
      </c>
      <c r="N38" s="36">
        <v>2.56</v>
      </c>
      <c r="O38" s="37">
        <f t="shared" si="7"/>
        <v>1.2644</v>
      </c>
      <c r="P38" s="36">
        <f t="shared" si="4"/>
        <v>3.236864</v>
      </c>
      <c r="Q38" s="36">
        <f t="shared" si="5"/>
        <v>3660.893184</v>
      </c>
      <c r="R38" s="50">
        <v>96402</v>
      </c>
    </row>
    <row r="39" spans="1:18" ht="19.5" customHeight="1">
      <c r="A39" s="43" t="s">
        <v>92</v>
      </c>
      <c r="B39" s="44" t="s">
        <v>93</v>
      </c>
      <c r="C39" s="44"/>
      <c r="D39" s="44"/>
      <c r="E39" s="44"/>
      <c r="F39" s="44"/>
      <c r="G39" s="44"/>
      <c r="H39" s="44"/>
      <c r="I39" s="44"/>
      <c r="J39" s="44"/>
      <c r="K39" s="44"/>
      <c r="L39" s="34">
        <f>(L15-200)*1</f>
        <v>1131</v>
      </c>
      <c r="M39" s="45" t="s">
        <v>29</v>
      </c>
      <c r="N39" s="36">
        <v>1.41</v>
      </c>
      <c r="O39" s="37">
        <f t="shared" si="7"/>
        <v>1.2644</v>
      </c>
      <c r="P39" s="36">
        <f t="shared" si="4"/>
        <v>1.7828039999999998</v>
      </c>
      <c r="Q39" s="36">
        <f t="shared" si="5"/>
        <v>2016.3513239999997</v>
      </c>
      <c r="R39" s="50">
        <v>72943</v>
      </c>
    </row>
    <row r="40" spans="1:18" ht="46.5" customHeight="1">
      <c r="A40" s="43" t="s">
        <v>94</v>
      </c>
      <c r="B40" s="44" t="s">
        <v>95</v>
      </c>
      <c r="C40" s="44"/>
      <c r="D40" s="44"/>
      <c r="E40" s="44"/>
      <c r="F40" s="44"/>
      <c r="G40" s="44"/>
      <c r="H40" s="44"/>
      <c r="I40" s="44"/>
      <c r="J40" s="44"/>
      <c r="K40" s="44"/>
      <c r="L40" s="34">
        <f>(L15-200)*1*0.05</f>
        <v>56.550000000000004</v>
      </c>
      <c r="M40" s="45" t="s">
        <v>45</v>
      </c>
      <c r="N40" s="36">
        <v>831.71</v>
      </c>
      <c r="O40" s="37">
        <f t="shared" si="7"/>
        <v>1.2644</v>
      </c>
      <c r="P40" s="36">
        <f t="shared" si="4"/>
        <v>1051.614124</v>
      </c>
      <c r="Q40" s="36">
        <f t="shared" si="5"/>
        <v>59468.7787122</v>
      </c>
      <c r="R40" s="50">
        <v>95995</v>
      </c>
    </row>
    <row r="41" spans="1:18" ht="34.5" customHeight="1">
      <c r="A41" s="43" t="s">
        <v>96</v>
      </c>
      <c r="B41" s="44" t="s">
        <v>97</v>
      </c>
      <c r="C41" s="44"/>
      <c r="D41" s="44"/>
      <c r="E41" s="44"/>
      <c r="F41" s="44"/>
      <c r="G41" s="44"/>
      <c r="H41" s="44"/>
      <c r="I41" s="44"/>
      <c r="J41" s="44"/>
      <c r="K41" s="44"/>
      <c r="L41" s="34">
        <f>L40*30+L31*10</f>
        <v>5180.673745000004</v>
      </c>
      <c r="M41" s="45" t="s">
        <v>87</v>
      </c>
      <c r="N41" s="36">
        <v>1.06</v>
      </c>
      <c r="O41" s="37">
        <f t="shared" si="7"/>
        <v>1.2644</v>
      </c>
      <c r="P41" s="36">
        <f t="shared" si="4"/>
        <v>1.3402640000000001</v>
      </c>
      <c r="Q41" s="36">
        <f t="shared" si="5"/>
        <v>6943.470516168685</v>
      </c>
      <c r="R41" s="50">
        <v>95875</v>
      </c>
    </row>
    <row r="42" spans="1:18" ht="32.25" customHeight="1">
      <c r="A42" s="29">
        <v>3</v>
      </c>
      <c r="B42" s="30" t="s">
        <v>98</v>
      </c>
      <c r="C42" s="30"/>
      <c r="D42" s="30"/>
      <c r="E42" s="30"/>
      <c r="F42" s="30"/>
      <c r="G42" s="30"/>
      <c r="H42" s="30"/>
      <c r="I42" s="30"/>
      <c r="J42" s="30"/>
      <c r="K42" s="30"/>
      <c r="L42" s="51" t="s">
        <v>99</v>
      </c>
      <c r="M42" s="51"/>
      <c r="N42" s="51"/>
      <c r="O42" s="51"/>
      <c r="P42" s="52">
        <f>Q42/N47</f>
        <v>0.039491806494352806</v>
      </c>
      <c r="Q42" s="53">
        <f>SUM(Q43:Q46)</f>
        <v>18916.511384</v>
      </c>
      <c r="R42" s="54"/>
    </row>
    <row r="43" spans="1:18" ht="24" customHeight="1">
      <c r="A43" s="32" t="s">
        <v>100</v>
      </c>
      <c r="B43" s="33" t="s">
        <v>101</v>
      </c>
      <c r="C43" s="33"/>
      <c r="D43" s="33"/>
      <c r="E43" s="33"/>
      <c r="F43" s="33"/>
      <c r="G43" s="33"/>
      <c r="H43" s="33"/>
      <c r="I43" s="33"/>
      <c r="J43" s="33"/>
      <c r="K43" s="33"/>
      <c r="L43" s="55">
        <v>264</v>
      </c>
      <c r="M43" s="35" t="s">
        <v>102</v>
      </c>
      <c r="N43" s="36">
        <v>32.35</v>
      </c>
      <c r="O43" s="37">
        <f aca="true" t="shared" si="8" ref="O43:O46">1+$Q$7</f>
        <v>1.2644</v>
      </c>
      <c r="P43" s="36">
        <f aca="true" t="shared" si="9" ref="P43:P46">O43*N43</f>
        <v>40.90334</v>
      </c>
      <c r="Q43" s="36">
        <f aca="true" t="shared" si="10" ref="Q43:Q46">P43*L43</f>
        <v>10798.48176</v>
      </c>
      <c r="R43" s="38">
        <v>90776</v>
      </c>
    </row>
    <row r="44" spans="1:18" ht="27" customHeight="1">
      <c r="A44" s="32" t="s">
        <v>103</v>
      </c>
      <c r="B44" s="33" t="s">
        <v>104</v>
      </c>
      <c r="C44" s="33"/>
      <c r="D44" s="33"/>
      <c r="E44" s="33"/>
      <c r="F44" s="33"/>
      <c r="G44" s="33"/>
      <c r="H44" s="33"/>
      <c r="I44" s="33"/>
      <c r="J44" s="33"/>
      <c r="K44" s="33"/>
      <c r="L44" s="55">
        <v>66</v>
      </c>
      <c r="M44" s="35" t="s">
        <v>102</v>
      </c>
      <c r="N44" s="36">
        <v>80.56</v>
      </c>
      <c r="O44" s="37">
        <f t="shared" si="8"/>
        <v>1.2644</v>
      </c>
      <c r="P44" s="36">
        <f t="shared" si="9"/>
        <v>101.860064</v>
      </c>
      <c r="Q44" s="36">
        <f t="shared" si="10"/>
        <v>6722.764224</v>
      </c>
      <c r="R44" s="38">
        <v>90778</v>
      </c>
    </row>
    <row r="45" spans="1:18" ht="21.75" customHeight="1">
      <c r="A45" s="32" t="s">
        <v>105</v>
      </c>
      <c r="B45" s="33" t="s">
        <v>106</v>
      </c>
      <c r="C45" s="33"/>
      <c r="D45" s="33"/>
      <c r="E45" s="33"/>
      <c r="F45" s="33"/>
      <c r="G45" s="33"/>
      <c r="H45" s="33"/>
      <c r="I45" s="33"/>
      <c r="J45" s="33"/>
      <c r="K45" s="33"/>
      <c r="L45" s="55">
        <v>30</v>
      </c>
      <c r="M45" s="35" t="s">
        <v>102</v>
      </c>
      <c r="N45" s="36">
        <v>27.73</v>
      </c>
      <c r="O45" s="37">
        <f t="shared" si="8"/>
        <v>1.2644</v>
      </c>
      <c r="P45" s="36">
        <f t="shared" si="9"/>
        <v>35.061811999999996</v>
      </c>
      <c r="Q45" s="36">
        <f t="shared" si="10"/>
        <v>1051.8543599999998</v>
      </c>
      <c r="R45" s="38">
        <v>90781</v>
      </c>
    </row>
    <row r="46" spans="1:18" ht="20.25" customHeight="1">
      <c r="A46" s="32" t="s">
        <v>107</v>
      </c>
      <c r="B46" s="33" t="s">
        <v>108</v>
      </c>
      <c r="C46" s="33"/>
      <c r="D46" s="33"/>
      <c r="E46" s="33"/>
      <c r="F46" s="33"/>
      <c r="G46" s="33"/>
      <c r="H46" s="33"/>
      <c r="I46" s="33"/>
      <c r="J46" s="33"/>
      <c r="K46" s="33"/>
      <c r="L46" s="55">
        <v>20</v>
      </c>
      <c r="M46" s="35" t="s">
        <v>102</v>
      </c>
      <c r="N46" s="36">
        <v>13.58</v>
      </c>
      <c r="O46" s="37">
        <f t="shared" si="8"/>
        <v>1.2644</v>
      </c>
      <c r="P46" s="36">
        <f t="shared" si="9"/>
        <v>17.170552</v>
      </c>
      <c r="Q46" s="36">
        <f t="shared" si="10"/>
        <v>343.41104</v>
      </c>
      <c r="R46" s="38">
        <v>88253</v>
      </c>
    </row>
    <row r="47" spans="1:18" ht="29.25" customHeight="1">
      <c r="A47" s="51" t="s">
        <v>109</v>
      </c>
      <c r="B47" s="51"/>
      <c r="C47" s="51"/>
      <c r="D47" s="51"/>
      <c r="E47" s="51"/>
      <c r="F47" s="51"/>
      <c r="G47" s="51"/>
      <c r="H47" s="51"/>
      <c r="I47" s="51"/>
      <c r="J47" s="51"/>
      <c r="K47" s="51"/>
      <c r="L47" s="51"/>
      <c r="M47" s="51"/>
      <c r="N47" s="56">
        <f>Q42+Q14+Q11</f>
        <v>478998.38126435154</v>
      </c>
      <c r="O47" s="56"/>
      <c r="P47" s="56"/>
      <c r="Q47" s="56"/>
      <c r="R47" s="57"/>
    </row>
  </sheetData>
  <sheetProtection selectLockedCells="1" selectUnlockedCells="1"/>
  <mergeCells count="60">
    <mergeCell ref="A1:R1"/>
    <mergeCell ref="A2:E2"/>
    <mergeCell ref="F2:J2"/>
    <mergeCell ref="L2:O2"/>
    <mergeCell ref="F3:J3"/>
    <mergeCell ref="A4:E4"/>
    <mergeCell ref="F4:K4"/>
    <mergeCell ref="A5:H5"/>
    <mergeCell ref="A6:E6"/>
    <mergeCell ref="G6:I6"/>
    <mergeCell ref="J6:R6"/>
    <mergeCell ref="A7:D7"/>
    <mergeCell ref="L7:M7"/>
    <mergeCell ref="A8:R8"/>
    <mergeCell ref="A9:A10"/>
    <mergeCell ref="B9:K10"/>
    <mergeCell ref="L9:L10"/>
    <mergeCell ref="M9:M10"/>
    <mergeCell ref="N9:P9"/>
    <mergeCell ref="Q9:Q10"/>
    <mergeCell ref="R9:R10"/>
    <mergeCell ref="B11:P11"/>
    <mergeCell ref="B12:K12"/>
    <mergeCell ref="B13:K13"/>
    <mergeCell ref="B14:O14"/>
    <mergeCell ref="B15:K15"/>
    <mergeCell ref="B16:K16"/>
    <mergeCell ref="B17:K17"/>
    <mergeCell ref="B18:K18"/>
    <mergeCell ref="B19:K19"/>
    <mergeCell ref="B20:K20"/>
    <mergeCell ref="B21:J21"/>
    <mergeCell ref="B22:J22"/>
    <mergeCell ref="B23:J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L42:O42"/>
    <mergeCell ref="B43:K43"/>
    <mergeCell ref="B44:K44"/>
    <mergeCell ref="B45:K45"/>
    <mergeCell ref="B46:K46"/>
    <mergeCell ref="A47:M47"/>
    <mergeCell ref="N47:Q47"/>
  </mergeCells>
  <printOptions/>
  <pageMargins left="0.7875" right="0.7875" top="1.023611111111111" bottom="1.023611111111111" header="0.7875" footer="0.7875"/>
  <pageSetup firstPageNumber="1" useFirstPageNumber="1" fitToHeight="0" fitToWidth="1" horizontalDpi="300" verticalDpi="300" orientation="landscape" paperSize="9"/>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dimension ref="B5:G10"/>
  <sheetViews>
    <sheetView view="pageBreakPreview" zoomScale="75" zoomScaleSheetLayoutView="75" workbookViewId="0" topLeftCell="A1">
      <selection activeCell="A1" sqref="A1"/>
    </sheetView>
  </sheetViews>
  <sheetFormatPr defaultColWidth="8.00390625" defaultRowHeight="12.75"/>
  <cols>
    <col min="1" max="5" width="8.421875" style="0" customWidth="1"/>
    <col min="6" max="6" width="11.140625" style="0" customWidth="1"/>
    <col min="7" max="7" width="14.140625" style="0" customWidth="1"/>
    <col min="8" max="16384" width="8.421875" style="0" customWidth="1"/>
  </cols>
  <sheetData>
    <row r="5" spans="2:7" ht="12.75" customHeight="1">
      <c r="B5" s="58" t="s">
        <v>110</v>
      </c>
      <c r="C5" s="58"/>
      <c r="D5" s="58"/>
      <c r="E5" s="58"/>
      <c r="F5" s="59" t="s">
        <v>111</v>
      </c>
      <c r="G5" s="60" t="s">
        <v>112</v>
      </c>
    </row>
    <row r="6" spans="2:7" ht="12.75" customHeight="1">
      <c r="B6" s="44" t="s">
        <v>113</v>
      </c>
      <c r="C6" s="44"/>
      <c r="D6" s="44"/>
      <c r="E6" s="44"/>
      <c r="F6" s="61">
        <v>5</v>
      </c>
      <c r="G6" s="36"/>
    </row>
    <row r="7" spans="2:7" ht="12.75" customHeight="1">
      <c r="B7" s="44" t="s">
        <v>114</v>
      </c>
      <c r="C7" s="44"/>
      <c r="D7" s="44"/>
      <c r="E7" s="44"/>
      <c r="F7" s="34">
        <v>5</v>
      </c>
      <c r="G7" s="36"/>
    </row>
    <row r="8" spans="2:7" ht="12.75" customHeight="1">
      <c r="B8" s="44" t="s">
        <v>115</v>
      </c>
      <c r="C8" s="44"/>
      <c r="D8" s="44"/>
      <c r="E8" s="44"/>
      <c r="F8" s="34">
        <v>5</v>
      </c>
      <c r="G8" s="36"/>
    </row>
    <row r="9" spans="2:7" ht="12.75" customHeight="1">
      <c r="B9" s="44" t="s">
        <v>116</v>
      </c>
      <c r="C9" s="44"/>
      <c r="D9" s="44"/>
      <c r="E9" s="44"/>
      <c r="F9" s="34">
        <v>5</v>
      </c>
      <c r="G9" s="36"/>
    </row>
    <row r="10" spans="2:7" ht="12.75" customHeight="1">
      <c r="B10" s="44" t="s">
        <v>117</v>
      </c>
      <c r="C10" s="44"/>
      <c r="D10" s="44"/>
      <c r="E10" s="44"/>
      <c r="F10" s="34">
        <v>5</v>
      </c>
      <c r="G10" s="36"/>
    </row>
  </sheetData>
  <sheetProtection selectLockedCells="1" selectUnlockedCells="1"/>
  <mergeCells count="6">
    <mergeCell ref="B5:E5"/>
    <mergeCell ref="B6:E6"/>
    <mergeCell ref="B7:E7"/>
    <mergeCell ref="B8:E8"/>
    <mergeCell ref="B9:E9"/>
    <mergeCell ref="B10:E10"/>
  </mergeCells>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17"/>
  <sheetViews>
    <sheetView view="pageBreakPreview" zoomScale="75" zoomScaleSheetLayoutView="75" workbookViewId="0" topLeftCell="A1">
      <selection activeCell="A1" sqref="A1"/>
    </sheetView>
  </sheetViews>
  <sheetFormatPr defaultColWidth="9.140625" defaultRowHeight="12.75"/>
  <cols>
    <col min="1" max="2" width="8.57421875" style="0" customWidth="1"/>
    <col min="3" max="3" width="34.57421875" style="0" customWidth="1"/>
    <col min="4" max="4" width="8.00390625" style="62" customWidth="1"/>
    <col min="5" max="5" width="8.421875" style="0" customWidth="1"/>
    <col min="6" max="6" width="13.00390625" style="0" customWidth="1"/>
    <col min="7" max="7" width="13.421875" style="0" customWidth="1"/>
    <col min="8" max="16384" width="8.57421875" style="0" customWidth="1"/>
  </cols>
  <sheetData>
    <row r="1" spans="1:7" ht="15.75">
      <c r="A1" s="63" t="s">
        <v>118</v>
      </c>
      <c r="B1" s="63"/>
      <c r="C1" s="63"/>
      <c r="D1" s="63"/>
      <c r="E1" s="63"/>
      <c r="F1" s="63"/>
      <c r="G1" s="63"/>
    </row>
    <row r="2" spans="1:7" ht="15.75">
      <c r="A2" s="63" t="s">
        <v>119</v>
      </c>
      <c r="B2" s="63"/>
      <c r="C2" s="63"/>
      <c r="D2" s="63"/>
      <c r="E2" s="63"/>
      <c r="F2" s="63"/>
      <c r="G2" s="63"/>
    </row>
    <row r="3" spans="4:7" ht="12.75">
      <c r="D3"/>
      <c r="G3" s="64" t="s">
        <v>120</v>
      </c>
    </row>
    <row r="4" spans="1:7" ht="12.75">
      <c r="A4" s="65" t="s">
        <v>121</v>
      </c>
      <c r="B4" s="65"/>
      <c r="C4" s="66" t="s">
        <v>122</v>
      </c>
      <c r="D4" s="67" t="s">
        <v>18</v>
      </c>
      <c r="E4" s="67" t="s">
        <v>123</v>
      </c>
      <c r="F4" s="68" t="s">
        <v>124</v>
      </c>
      <c r="G4" s="69" t="s">
        <v>125</v>
      </c>
    </row>
    <row r="5" spans="1:7" ht="63.75" customHeight="1">
      <c r="A5" s="70" t="s">
        <v>34</v>
      </c>
      <c r="B5" s="70"/>
      <c r="C5" s="71" t="s">
        <v>32</v>
      </c>
      <c r="D5" s="72" t="s">
        <v>33</v>
      </c>
      <c r="E5" s="73">
        <v>43313</v>
      </c>
      <c r="F5" s="73" t="s">
        <v>126</v>
      </c>
      <c r="G5" s="74">
        <f>SUM(G7:G10)</f>
        <v>16952.989999999998</v>
      </c>
    </row>
    <row r="6" spans="1:7" ht="12.75">
      <c r="A6" s="75" t="s">
        <v>124</v>
      </c>
      <c r="B6" s="76" t="s">
        <v>121</v>
      </c>
      <c r="C6" s="77" t="s">
        <v>127</v>
      </c>
      <c r="D6" s="78" t="s">
        <v>18</v>
      </c>
      <c r="E6" s="78" t="s">
        <v>128</v>
      </c>
      <c r="F6" s="78" t="s">
        <v>129</v>
      </c>
      <c r="G6" s="79"/>
    </row>
    <row r="7" spans="1:7" ht="51" customHeight="1">
      <c r="A7" s="80" t="s">
        <v>126</v>
      </c>
      <c r="B7" s="80" t="s">
        <v>130</v>
      </c>
      <c r="C7" s="81" t="s">
        <v>131</v>
      </c>
      <c r="D7" s="82" t="s">
        <v>132</v>
      </c>
      <c r="E7" s="81">
        <v>1</v>
      </c>
      <c r="F7" s="81">
        <v>339.84</v>
      </c>
      <c r="G7" s="83">
        <f aca="true" t="shared" si="0" ref="G7:G10">F7*E7</f>
        <v>339.84</v>
      </c>
    </row>
    <row r="8" spans="1:7" ht="32.25" customHeight="1">
      <c r="A8" s="80" t="s">
        <v>126</v>
      </c>
      <c r="B8" s="80">
        <v>93212</v>
      </c>
      <c r="C8" s="81" t="s">
        <v>133</v>
      </c>
      <c r="D8" s="82" t="s">
        <v>29</v>
      </c>
      <c r="E8" s="81">
        <v>15</v>
      </c>
      <c r="F8" s="81">
        <v>568.81</v>
      </c>
      <c r="G8" s="83">
        <f t="shared" si="0"/>
        <v>8532.15</v>
      </c>
    </row>
    <row r="9" spans="1:7" ht="33.75" customHeight="1">
      <c r="A9" s="80" t="s">
        <v>126</v>
      </c>
      <c r="B9" s="84">
        <v>93210</v>
      </c>
      <c r="C9" s="81" t="s">
        <v>134</v>
      </c>
      <c r="D9" s="82" t="s">
        <v>29</v>
      </c>
      <c r="E9" s="81">
        <v>10</v>
      </c>
      <c r="F9" s="81">
        <v>320.83</v>
      </c>
      <c r="G9" s="83">
        <f t="shared" si="0"/>
        <v>3208.2999999999997</v>
      </c>
    </row>
    <row r="10" spans="1:7" ht="35.25" customHeight="1">
      <c r="A10" s="80" t="s">
        <v>126</v>
      </c>
      <c r="B10" s="80">
        <v>93208</v>
      </c>
      <c r="C10" s="81" t="s">
        <v>135</v>
      </c>
      <c r="D10" s="82" t="s">
        <v>29</v>
      </c>
      <c r="E10" s="81">
        <v>10</v>
      </c>
      <c r="F10" s="81">
        <v>487.27</v>
      </c>
      <c r="G10" s="83">
        <f t="shared" si="0"/>
        <v>4872.7</v>
      </c>
    </row>
    <row r="11" ht="12.75">
      <c r="D11"/>
    </row>
    <row r="12" spans="4:7" ht="12.75">
      <c r="D12"/>
      <c r="G12" s="64" t="s">
        <v>120</v>
      </c>
    </row>
    <row r="13" spans="1:7" ht="12.75" customHeight="1">
      <c r="A13" s="65" t="s">
        <v>121</v>
      </c>
      <c r="B13" s="65"/>
      <c r="C13" s="66" t="s">
        <v>122</v>
      </c>
      <c r="D13" s="67" t="s">
        <v>18</v>
      </c>
      <c r="E13" s="67" t="s">
        <v>123</v>
      </c>
      <c r="F13" s="68" t="s">
        <v>124</v>
      </c>
      <c r="G13" s="69" t="s">
        <v>125</v>
      </c>
    </row>
    <row r="14" spans="1:7" ht="33.75" customHeight="1">
      <c r="A14" s="70" t="s">
        <v>42</v>
      </c>
      <c r="B14" s="70"/>
      <c r="C14" s="71" t="s">
        <v>40</v>
      </c>
      <c r="D14" s="72" t="s">
        <v>29</v>
      </c>
      <c r="E14" s="73">
        <v>43313</v>
      </c>
      <c r="F14" s="73" t="s">
        <v>126</v>
      </c>
      <c r="G14" s="74">
        <f>SUM(G16:G17)</f>
        <v>1.6156000000000001</v>
      </c>
    </row>
    <row r="15" spans="1:7" ht="12.75">
      <c r="A15" s="75" t="s">
        <v>124</v>
      </c>
      <c r="B15" s="76" t="s">
        <v>121</v>
      </c>
      <c r="C15" s="77" t="s">
        <v>127</v>
      </c>
      <c r="D15" s="78" t="s">
        <v>18</v>
      </c>
      <c r="E15" s="78" t="s">
        <v>128</v>
      </c>
      <c r="F15" s="78" t="s">
        <v>129</v>
      </c>
      <c r="G15" s="79"/>
    </row>
    <row r="16" spans="1:7" ht="56.25">
      <c r="A16" s="80" t="s">
        <v>126</v>
      </c>
      <c r="B16" s="80">
        <v>91283</v>
      </c>
      <c r="C16" s="81" t="s">
        <v>136</v>
      </c>
      <c r="D16" s="82" t="s">
        <v>137</v>
      </c>
      <c r="E16" s="81">
        <v>0.07</v>
      </c>
      <c r="F16" s="81">
        <v>10.78</v>
      </c>
      <c r="G16" s="83">
        <f aca="true" t="shared" si="1" ref="G16:G17">F16*E16</f>
        <v>0.7546</v>
      </c>
    </row>
    <row r="17" spans="1:7" ht="12.75">
      <c r="A17" s="80" t="s">
        <v>126</v>
      </c>
      <c r="B17" s="80">
        <v>88316</v>
      </c>
      <c r="C17" s="81" t="s">
        <v>138</v>
      </c>
      <c r="D17" s="82" t="s">
        <v>102</v>
      </c>
      <c r="E17" s="81">
        <v>0.07</v>
      </c>
      <c r="F17" s="81">
        <v>12.3</v>
      </c>
      <c r="G17" s="83">
        <f t="shared" si="1"/>
        <v>0.8610000000000001</v>
      </c>
    </row>
  </sheetData>
  <sheetProtection selectLockedCells="1" selectUnlockedCells="1"/>
  <mergeCells count="6">
    <mergeCell ref="A1:G1"/>
    <mergeCell ref="A2:G2"/>
    <mergeCell ref="A4:B4"/>
    <mergeCell ref="A5:B5"/>
    <mergeCell ref="A13:B13"/>
    <mergeCell ref="A14:B14"/>
  </mergeCells>
  <printOptions/>
  <pageMargins left="0.7875" right="0.7875" top="1.0527777777777778" bottom="1.0527777777777778" header="0.7875" footer="0.7875"/>
  <pageSetup horizontalDpi="300" verticalDpi="300" orientation="portrait" paperSize="9" scale="91"/>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F31"/>
  <sheetViews>
    <sheetView view="pageBreakPreview" zoomScale="75" zoomScaleSheetLayoutView="75" workbookViewId="0" topLeftCell="A7">
      <selection activeCell="T19" sqref="T19"/>
    </sheetView>
  </sheetViews>
  <sheetFormatPr defaultColWidth="9.140625" defaultRowHeight="12.75"/>
  <cols>
    <col min="1" max="1" width="2.00390625" style="0" customWidth="1"/>
    <col min="2" max="2" width="6.421875" style="0" customWidth="1"/>
    <col min="3" max="3" width="6.57421875" style="0" customWidth="1"/>
    <col min="4" max="5" width="5.57421875" style="0" customWidth="1"/>
    <col min="6" max="7" width="5.421875" style="0" customWidth="1"/>
    <col min="8" max="8" width="6.57421875" style="0" customWidth="1"/>
    <col min="9" max="9" width="5.28125" style="0" customWidth="1"/>
    <col min="10" max="23" width="8.57421875" style="0" customWidth="1"/>
    <col min="24" max="24" width="13.7109375" style="0" customWidth="1"/>
    <col min="25" max="25" width="12.7109375" style="0" customWidth="1"/>
    <col min="26" max="26" width="15.421875" style="0" customWidth="1"/>
    <col min="27" max="16384" width="8.57421875" style="0" customWidth="1"/>
  </cols>
  <sheetData>
    <row r="1" spans="5:25" ht="15" customHeight="1">
      <c r="E1" s="85"/>
      <c r="F1" s="85"/>
      <c r="G1" s="85"/>
      <c r="H1" s="85"/>
      <c r="I1" s="85"/>
      <c r="J1" s="85"/>
      <c r="Y1" s="86"/>
    </row>
    <row r="2" spans="2:27" ht="12.75" customHeight="1">
      <c r="B2" s="87"/>
      <c r="C2" s="88"/>
      <c r="D2" s="88"/>
      <c r="E2" s="89" t="s">
        <v>139</v>
      </c>
      <c r="F2" s="89"/>
      <c r="G2" s="89"/>
      <c r="H2" s="89"/>
      <c r="I2" s="89"/>
      <c r="J2" s="89"/>
      <c r="K2" s="89"/>
      <c r="L2" s="89"/>
      <c r="M2" s="89"/>
      <c r="N2" s="89"/>
      <c r="O2" s="89"/>
      <c r="P2" s="89"/>
      <c r="Q2" s="89"/>
      <c r="R2" s="89"/>
      <c r="S2" s="89"/>
      <c r="T2" s="89"/>
      <c r="U2" s="89"/>
      <c r="V2" s="89"/>
      <c r="W2" s="89"/>
      <c r="X2" s="89"/>
      <c r="Y2" s="90"/>
      <c r="Z2" s="91"/>
      <c r="AA2" s="92"/>
    </row>
    <row r="3" spans="2:27" ht="18" customHeight="1">
      <c r="B3" s="93"/>
      <c r="C3" s="94"/>
      <c r="D3" s="94"/>
      <c r="E3" s="89"/>
      <c r="F3" s="89"/>
      <c r="G3" s="89"/>
      <c r="H3" s="89"/>
      <c r="I3" s="89"/>
      <c r="J3" s="89"/>
      <c r="K3" s="89"/>
      <c r="L3" s="89"/>
      <c r="M3" s="89"/>
      <c r="N3" s="89"/>
      <c r="O3" s="89"/>
      <c r="P3" s="89"/>
      <c r="Q3" s="89"/>
      <c r="R3" s="89"/>
      <c r="S3" s="89"/>
      <c r="T3" s="89"/>
      <c r="U3" s="89"/>
      <c r="V3" s="89"/>
      <c r="W3" s="89"/>
      <c r="X3" s="89"/>
      <c r="Y3" s="95"/>
      <c r="Z3" s="96"/>
      <c r="AA3" s="92"/>
    </row>
    <row r="4" spans="2:27" ht="16.5" customHeight="1">
      <c r="B4" s="93"/>
      <c r="C4" s="94"/>
      <c r="D4" s="94"/>
      <c r="E4" s="94"/>
      <c r="F4" s="94"/>
      <c r="G4" s="94"/>
      <c r="H4" s="95"/>
      <c r="I4" s="94"/>
      <c r="J4" s="94"/>
      <c r="K4" s="94"/>
      <c r="L4" s="94"/>
      <c r="M4" s="94"/>
      <c r="N4" s="94"/>
      <c r="O4" s="94"/>
      <c r="P4" s="94"/>
      <c r="Q4" s="94"/>
      <c r="R4" s="94"/>
      <c r="S4" s="94"/>
      <c r="T4" s="94"/>
      <c r="U4" s="94"/>
      <c r="V4" s="94"/>
      <c r="W4" s="94"/>
      <c r="X4" s="94"/>
      <c r="Y4" s="94"/>
      <c r="Z4" s="97"/>
      <c r="AA4" s="92"/>
    </row>
    <row r="5" spans="2:32" s="86" customFormat="1" ht="19.5">
      <c r="B5" s="98"/>
      <c r="C5" s="98"/>
      <c r="D5" s="98"/>
      <c r="E5" s="98"/>
      <c r="F5" s="98"/>
      <c r="G5" s="98"/>
      <c r="H5" s="98"/>
      <c r="I5" s="98"/>
      <c r="J5" s="98"/>
      <c r="K5" s="98"/>
      <c r="L5" s="98"/>
      <c r="M5" s="98"/>
      <c r="N5" s="98"/>
      <c r="O5" s="98"/>
      <c r="P5" s="98"/>
      <c r="Q5" s="98"/>
      <c r="R5" s="98"/>
      <c r="S5" s="98"/>
      <c r="T5" s="98"/>
      <c r="U5" s="98"/>
      <c r="V5" s="98"/>
      <c r="W5" s="99"/>
      <c r="X5" s="99"/>
      <c r="Y5" s="99"/>
      <c r="Z5" s="99"/>
      <c r="AA5" s="92"/>
      <c r="AF5" s="100"/>
    </row>
    <row r="6" spans="2:27" ht="19.5">
      <c r="B6" s="101"/>
      <c r="C6" s="102"/>
      <c r="D6" s="102"/>
      <c r="E6" s="102"/>
      <c r="F6" s="102"/>
      <c r="G6" s="102"/>
      <c r="H6" s="102"/>
      <c r="I6" s="102"/>
      <c r="J6" s="102"/>
      <c r="K6" s="103"/>
      <c r="L6" s="104"/>
      <c r="M6" s="104"/>
      <c r="N6" s="104"/>
      <c r="O6" s="104"/>
      <c r="P6" s="104"/>
      <c r="Q6" s="104"/>
      <c r="R6" s="104"/>
      <c r="S6" s="104"/>
      <c r="T6" s="104"/>
      <c r="U6" s="104"/>
      <c r="V6" s="104"/>
      <c r="W6" s="104"/>
      <c r="X6" s="104"/>
      <c r="Y6" s="104"/>
      <c r="Z6" s="105"/>
      <c r="AA6" s="92"/>
    </row>
    <row r="7" spans="2:32" s="86" customFormat="1" ht="18.75">
      <c r="B7" s="106" t="s">
        <v>140</v>
      </c>
      <c r="C7" s="107"/>
      <c r="D7" s="107"/>
      <c r="E7" s="107"/>
      <c r="F7" s="107"/>
      <c r="G7" s="107"/>
      <c r="H7" s="107"/>
      <c r="I7" s="104"/>
      <c r="J7" s="104"/>
      <c r="K7" s="104"/>
      <c r="L7" s="104"/>
      <c r="M7" s="104"/>
      <c r="N7" s="104"/>
      <c r="O7" s="104"/>
      <c r="P7" s="104"/>
      <c r="Q7" s="104"/>
      <c r="R7" s="104"/>
      <c r="S7" s="104"/>
      <c r="T7" s="104"/>
      <c r="U7" s="107"/>
      <c r="V7" s="107"/>
      <c r="W7" s="108" t="s">
        <v>141</v>
      </c>
      <c r="X7" s="104"/>
      <c r="Y7" s="104"/>
      <c r="Z7" s="105"/>
      <c r="AA7" s="92"/>
      <c r="AF7" s="100"/>
    </row>
    <row r="8" spans="1:32" ht="19.5">
      <c r="A8" s="86"/>
      <c r="B8" s="109" t="s">
        <v>142</v>
      </c>
      <c r="C8" s="109"/>
      <c r="D8" s="109"/>
      <c r="E8" s="109"/>
      <c r="F8" s="109"/>
      <c r="G8" s="109"/>
      <c r="H8" s="109"/>
      <c r="I8" s="109"/>
      <c r="J8" s="109"/>
      <c r="K8" s="109"/>
      <c r="L8" s="109"/>
      <c r="M8" s="109"/>
      <c r="N8" s="109"/>
      <c r="O8" s="109"/>
      <c r="P8" s="109"/>
      <c r="Q8" s="109"/>
      <c r="R8" s="109"/>
      <c r="S8" s="109"/>
      <c r="T8" s="109"/>
      <c r="U8" s="109"/>
      <c r="V8" s="109"/>
      <c r="W8" s="110" t="s">
        <v>143</v>
      </c>
      <c r="X8" s="110"/>
      <c r="Y8" s="110"/>
      <c r="Z8" s="110"/>
      <c r="AA8" s="92"/>
      <c r="AF8" s="100"/>
    </row>
    <row r="9" spans="2:32" s="111" customFormat="1" ht="18.75">
      <c r="B9" s="106"/>
      <c r="C9" s="107"/>
      <c r="D9" s="107"/>
      <c r="E9" s="107"/>
      <c r="F9" s="107"/>
      <c r="G9" s="107"/>
      <c r="H9" s="107"/>
      <c r="I9" s="107"/>
      <c r="J9" s="107"/>
      <c r="K9" s="104"/>
      <c r="L9" s="104"/>
      <c r="M9" s="104"/>
      <c r="N9" s="104"/>
      <c r="O9" s="104"/>
      <c r="P9" s="104"/>
      <c r="Q9" s="104"/>
      <c r="R9" s="104"/>
      <c r="S9" s="104"/>
      <c r="T9" s="104"/>
      <c r="U9" s="104"/>
      <c r="V9" s="104"/>
      <c r="W9" s="104"/>
      <c r="X9" s="104"/>
      <c r="Y9" s="104"/>
      <c r="Z9" s="105"/>
      <c r="AA9" s="112"/>
      <c r="AF9" s="113"/>
    </row>
    <row r="10" spans="2:32" s="86" customFormat="1" ht="25.5" customHeight="1">
      <c r="B10" s="106" t="s">
        <v>144</v>
      </c>
      <c r="C10" s="107"/>
      <c r="D10" s="107"/>
      <c r="E10" s="104"/>
      <c r="F10" s="104"/>
      <c r="G10" s="104"/>
      <c r="H10" s="104"/>
      <c r="I10" s="104"/>
      <c r="J10" s="104"/>
      <c r="K10" s="104"/>
      <c r="L10" s="104"/>
      <c r="M10" s="104"/>
      <c r="N10" s="104"/>
      <c r="O10" s="104"/>
      <c r="P10" s="104"/>
      <c r="Q10" s="104"/>
      <c r="R10" s="104"/>
      <c r="S10" s="104"/>
      <c r="T10" s="104"/>
      <c r="U10" s="108" t="s">
        <v>145</v>
      </c>
      <c r="V10" s="104"/>
      <c r="W10" s="104"/>
      <c r="X10" s="107"/>
      <c r="Y10" s="104"/>
      <c r="Z10" s="105"/>
      <c r="AA10" s="92"/>
      <c r="AF10" s="100"/>
    </row>
    <row r="11" spans="2:27" ht="47.25" customHeight="1">
      <c r="B11" s="114" t="s">
        <v>146</v>
      </c>
      <c r="C11" s="114"/>
      <c r="D11" s="114"/>
      <c r="E11" s="114"/>
      <c r="F11" s="114"/>
      <c r="G11" s="114"/>
      <c r="H11" s="114"/>
      <c r="I11" s="114"/>
      <c r="J11" s="114"/>
      <c r="K11" s="114"/>
      <c r="L11" s="114"/>
      <c r="M11" s="114"/>
      <c r="N11" s="114"/>
      <c r="O11" s="114"/>
      <c r="P11" s="114"/>
      <c r="Q11" s="114"/>
      <c r="R11" s="114"/>
      <c r="S11" s="114"/>
      <c r="T11" s="114"/>
      <c r="U11" s="115" t="s">
        <v>147</v>
      </c>
      <c r="V11" s="115"/>
      <c r="W11" s="115"/>
      <c r="X11" s="115"/>
      <c r="Y11" s="115"/>
      <c r="Z11" s="115"/>
      <c r="AA11" s="92"/>
    </row>
    <row r="12" spans="2:32" s="85" customFormat="1" ht="38.25" customHeight="1">
      <c r="B12" s="85" t="s">
        <v>148</v>
      </c>
      <c r="C12" s="107"/>
      <c r="D12" s="107"/>
      <c r="E12" s="107"/>
      <c r="F12" s="107"/>
      <c r="G12" s="107"/>
      <c r="H12" s="107"/>
      <c r="I12" s="107"/>
      <c r="J12" s="107"/>
      <c r="K12" s="104"/>
      <c r="L12" s="104"/>
      <c r="M12" s="104"/>
      <c r="N12" s="104"/>
      <c r="O12" s="104"/>
      <c r="P12" s="104"/>
      <c r="Q12" s="104"/>
      <c r="R12" s="104"/>
      <c r="S12" s="104"/>
      <c r="T12" s="104"/>
      <c r="U12" s="104"/>
      <c r="V12" s="104"/>
      <c r="W12" s="104"/>
      <c r="X12" s="104"/>
      <c r="Y12" s="104"/>
      <c r="Z12" s="105"/>
      <c r="AA12" s="92"/>
      <c r="AF12" s="116"/>
    </row>
    <row r="13" spans="2:27" ht="12" customHeight="1">
      <c r="B13" s="117" t="s">
        <v>149</v>
      </c>
      <c r="C13" s="117"/>
      <c r="D13" s="117"/>
      <c r="E13" s="117"/>
      <c r="F13" s="118"/>
      <c r="G13" s="118"/>
      <c r="H13" s="118"/>
      <c r="I13" s="118"/>
      <c r="J13" s="119" t="s">
        <v>150</v>
      </c>
      <c r="K13" s="119"/>
      <c r="L13" s="119"/>
      <c r="M13" s="119"/>
      <c r="N13" s="119"/>
      <c r="O13" s="119"/>
      <c r="P13" s="120" t="s">
        <v>151</v>
      </c>
      <c r="Q13" s="120"/>
      <c r="R13" s="120"/>
      <c r="S13" s="120"/>
      <c r="T13" s="120"/>
      <c r="U13" s="120"/>
      <c r="V13" s="120" t="s">
        <v>152</v>
      </c>
      <c r="W13" s="120"/>
      <c r="X13" s="120"/>
      <c r="Y13" s="121">
        <f>ROUND(((1+T18+T16+T15)*(1+T17)*(1+T19)/(1-T20)-1),4)</f>
        <v>0.1632</v>
      </c>
      <c r="Z13" s="121"/>
      <c r="AA13" s="92"/>
    </row>
    <row r="14" spans="2:27" ht="25.5" customHeight="1">
      <c r="B14" s="117"/>
      <c r="C14" s="117"/>
      <c r="D14" s="117"/>
      <c r="E14" s="117"/>
      <c r="F14" s="122"/>
      <c r="G14" s="122"/>
      <c r="H14" s="122"/>
      <c r="I14" s="122"/>
      <c r="J14" s="119"/>
      <c r="K14" s="119"/>
      <c r="L14" s="119"/>
      <c r="M14" s="119"/>
      <c r="N14" s="119"/>
      <c r="O14" s="119"/>
      <c r="P14" s="120"/>
      <c r="Q14" s="120"/>
      <c r="R14" s="120"/>
      <c r="S14" s="120"/>
      <c r="T14" s="120"/>
      <c r="U14" s="120"/>
      <c r="V14" s="120"/>
      <c r="W14" s="120"/>
      <c r="X14" s="120"/>
      <c r="Y14" s="121"/>
      <c r="Z14" s="121"/>
      <c r="AA14" s="92"/>
    </row>
    <row r="15" spans="1:32" ht="24.75" customHeight="1">
      <c r="A15" s="123"/>
      <c r="B15" s="124">
        <v>1</v>
      </c>
      <c r="C15" s="125" t="s">
        <v>153</v>
      </c>
      <c r="D15" s="125"/>
      <c r="E15" s="125"/>
      <c r="F15" s="125"/>
      <c r="G15" s="125"/>
      <c r="H15" s="125"/>
      <c r="I15" s="125"/>
      <c r="J15" s="126" t="s">
        <v>154</v>
      </c>
      <c r="K15" s="127">
        <v>0.003</v>
      </c>
      <c r="L15" s="127"/>
      <c r="M15" s="128" t="s">
        <v>155</v>
      </c>
      <c r="N15" s="129">
        <v>0.0082</v>
      </c>
      <c r="O15" s="129"/>
      <c r="P15" s="130" t="s">
        <v>156</v>
      </c>
      <c r="Q15" s="131"/>
      <c r="R15" s="131"/>
      <c r="S15" s="131"/>
      <c r="T15" s="132">
        <v>0.0030000000000000005</v>
      </c>
      <c r="U15" s="132"/>
      <c r="V15" s="133" t="s">
        <v>157</v>
      </c>
      <c r="W15" s="133"/>
      <c r="X15" s="133"/>
      <c r="Y15" s="133"/>
      <c r="Z15" s="133"/>
      <c r="AA15" s="92"/>
      <c r="AD15" s="116"/>
      <c r="AF15" s="85"/>
    </row>
    <row r="16" spans="1:32" ht="24.75" customHeight="1">
      <c r="A16" s="123"/>
      <c r="B16" s="124">
        <v>2</v>
      </c>
      <c r="C16" s="134" t="s">
        <v>158</v>
      </c>
      <c r="D16" s="134"/>
      <c r="E16" s="134"/>
      <c r="F16" s="134"/>
      <c r="G16" s="134"/>
      <c r="H16" s="134"/>
      <c r="I16" s="134"/>
      <c r="J16" s="135" t="s">
        <v>154</v>
      </c>
      <c r="K16" s="136">
        <v>0.0056</v>
      </c>
      <c r="L16" s="136"/>
      <c r="M16" s="137" t="s">
        <v>155</v>
      </c>
      <c r="N16" s="138">
        <v>0.0089</v>
      </c>
      <c r="O16" s="138"/>
      <c r="P16" s="139" t="s">
        <v>159</v>
      </c>
      <c r="Q16" s="139"/>
      <c r="R16" s="139"/>
      <c r="S16" s="139"/>
      <c r="T16" s="132">
        <v>0.005600000000000001</v>
      </c>
      <c r="U16" s="132"/>
      <c r="V16" s="133"/>
      <c r="W16" s="133"/>
      <c r="X16" s="133"/>
      <c r="Y16" s="133"/>
      <c r="Z16" s="133"/>
      <c r="AA16" s="92"/>
      <c r="AD16" s="116"/>
      <c r="AF16" s="85"/>
    </row>
    <row r="17" spans="1:32" ht="24.75" customHeight="1">
      <c r="A17" s="123"/>
      <c r="B17" s="124">
        <v>3</v>
      </c>
      <c r="C17" s="134" t="s">
        <v>160</v>
      </c>
      <c r="D17" s="134"/>
      <c r="E17" s="134"/>
      <c r="F17" s="134"/>
      <c r="G17" s="134"/>
      <c r="H17" s="134"/>
      <c r="I17" s="134"/>
      <c r="J17" s="135" t="s">
        <v>154</v>
      </c>
      <c r="K17" s="136">
        <v>0.0085</v>
      </c>
      <c r="L17" s="136"/>
      <c r="M17" s="137" t="s">
        <v>155</v>
      </c>
      <c r="N17" s="138">
        <v>0.0111</v>
      </c>
      <c r="O17" s="138"/>
      <c r="P17" s="139" t="s">
        <v>161</v>
      </c>
      <c r="Q17" s="139"/>
      <c r="R17" s="139"/>
      <c r="S17" s="139"/>
      <c r="T17" s="132">
        <v>0.0085</v>
      </c>
      <c r="U17" s="132"/>
      <c r="V17" s="140"/>
      <c r="W17" s="140"/>
      <c r="X17" s="140"/>
      <c r="Y17" s="140"/>
      <c r="Z17" s="140"/>
      <c r="AA17" s="92"/>
      <c r="AD17" s="116"/>
      <c r="AF17" s="85"/>
    </row>
    <row r="18" spans="1:32" ht="24.75" customHeight="1">
      <c r="A18" s="123"/>
      <c r="B18" s="124">
        <v>4</v>
      </c>
      <c r="C18" s="134" t="s">
        <v>162</v>
      </c>
      <c r="D18" s="134"/>
      <c r="E18" s="134"/>
      <c r="F18" s="134"/>
      <c r="G18" s="134"/>
      <c r="H18" s="134"/>
      <c r="I18" s="134"/>
      <c r="J18" s="135" t="s">
        <v>154</v>
      </c>
      <c r="K18" s="136">
        <v>0.015</v>
      </c>
      <c r="L18" s="136"/>
      <c r="M18" s="137" t="s">
        <v>155</v>
      </c>
      <c r="N18" s="138">
        <v>0.0449</v>
      </c>
      <c r="O18" s="138"/>
      <c r="P18" s="139" t="s">
        <v>163</v>
      </c>
      <c r="Q18" s="139"/>
      <c r="R18" s="139"/>
      <c r="S18" s="139"/>
      <c r="T18" s="132">
        <v>0.015</v>
      </c>
      <c r="U18" s="132"/>
      <c r="V18" s="141" t="s">
        <v>164</v>
      </c>
      <c r="W18" s="141"/>
      <c r="X18" s="141"/>
      <c r="Y18" s="141"/>
      <c r="Z18" s="141"/>
      <c r="AA18" s="92"/>
      <c r="AD18" s="116"/>
      <c r="AF18" s="85"/>
    </row>
    <row r="19" spans="1:32" ht="24.75" customHeight="1">
      <c r="A19" s="123"/>
      <c r="B19" s="124">
        <v>5</v>
      </c>
      <c r="C19" s="134" t="s">
        <v>165</v>
      </c>
      <c r="D19" s="134"/>
      <c r="E19" s="134"/>
      <c r="F19" s="134"/>
      <c r="G19" s="134"/>
      <c r="H19" s="134"/>
      <c r="I19" s="134"/>
      <c r="J19" s="135" t="s">
        <v>154</v>
      </c>
      <c r="K19" s="136">
        <v>0.035</v>
      </c>
      <c r="L19" s="136"/>
      <c r="M19" s="137" t="s">
        <v>155</v>
      </c>
      <c r="N19" s="138">
        <v>0.062200000000000005</v>
      </c>
      <c r="O19" s="138"/>
      <c r="P19" s="139" t="s">
        <v>166</v>
      </c>
      <c r="Q19" s="139"/>
      <c r="R19" s="139"/>
      <c r="S19" s="139"/>
      <c r="T19" s="132">
        <v>0.035</v>
      </c>
      <c r="U19" s="132"/>
      <c r="V19" s="140" t="s">
        <v>167</v>
      </c>
      <c r="W19" s="140"/>
      <c r="X19" s="140"/>
      <c r="Y19" s="140"/>
      <c r="Z19" s="140"/>
      <c r="AA19" s="92"/>
      <c r="AD19" s="116"/>
      <c r="AF19" s="85"/>
    </row>
    <row r="20" spans="1:32" ht="24.75" customHeight="1">
      <c r="A20" s="123"/>
      <c r="B20" s="124">
        <v>6</v>
      </c>
      <c r="C20" s="134" t="s">
        <v>168</v>
      </c>
      <c r="D20" s="134"/>
      <c r="E20" s="134"/>
      <c r="F20" s="134"/>
      <c r="G20" s="134"/>
      <c r="H20" s="134"/>
      <c r="I20" s="134"/>
      <c r="J20" s="135" t="s">
        <v>154</v>
      </c>
      <c r="K20" s="136">
        <v>0.0815</v>
      </c>
      <c r="L20" s="136"/>
      <c r="M20" s="137" t="s">
        <v>155</v>
      </c>
      <c r="N20" s="138">
        <v>0.0815</v>
      </c>
      <c r="O20" s="138"/>
      <c r="P20" s="139" t="s">
        <v>169</v>
      </c>
      <c r="Q20" s="139"/>
      <c r="R20" s="139"/>
      <c r="S20" s="139"/>
      <c r="T20" s="132">
        <f>T21+T22+T23+T24</f>
        <v>0.08149999999999999</v>
      </c>
      <c r="U20" s="132"/>
      <c r="V20" s="140"/>
      <c r="W20" s="140"/>
      <c r="X20" s="140"/>
      <c r="Y20" s="140"/>
      <c r="Z20" s="140"/>
      <c r="AA20" s="92"/>
      <c r="AD20" s="116"/>
      <c r="AF20" s="85"/>
    </row>
    <row r="21" spans="1:32" ht="24.75" customHeight="1">
      <c r="A21" s="123"/>
      <c r="B21" s="142" t="s">
        <v>170</v>
      </c>
      <c r="C21" s="143" t="s">
        <v>171</v>
      </c>
      <c r="D21" s="143"/>
      <c r="E21" s="143"/>
      <c r="F21" s="143"/>
      <c r="G21" s="143"/>
      <c r="H21" s="143"/>
      <c r="I21" s="143"/>
      <c r="J21" s="144" t="s">
        <v>154</v>
      </c>
      <c r="K21" s="145">
        <v>0.006500000000000001</v>
      </c>
      <c r="L21" s="145"/>
      <c r="M21" s="146" t="s">
        <v>155</v>
      </c>
      <c r="N21" s="147">
        <v>0.006500000000000001</v>
      </c>
      <c r="O21" s="147"/>
      <c r="P21" s="148">
        <f aca="true" t="shared" si="0" ref="P21:P23">C21</f>
        <v>0</v>
      </c>
      <c r="Q21" s="148"/>
      <c r="R21" s="148"/>
      <c r="S21" s="148"/>
      <c r="T21" s="149">
        <f aca="true" t="shared" si="1" ref="T21:T22">(K21+N21)/2</f>
        <v>0.006500000000000001</v>
      </c>
      <c r="U21" s="149"/>
      <c r="V21" s="140"/>
      <c r="W21" s="140"/>
      <c r="X21" s="140"/>
      <c r="Y21" s="140"/>
      <c r="Z21" s="140"/>
      <c r="AA21" s="92"/>
      <c r="AD21" s="116"/>
      <c r="AF21" s="85"/>
    </row>
    <row r="22" spans="1:27" ht="24.75" customHeight="1">
      <c r="A22" s="150"/>
      <c r="B22" s="142" t="s">
        <v>172</v>
      </c>
      <c r="C22" s="143" t="s">
        <v>173</v>
      </c>
      <c r="D22" s="143"/>
      <c r="E22" s="143"/>
      <c r="F22" s="143"/>
      <c r="G22" s="143"/>
      <c r="H22" s="143"/>
      <c r="I22" s="143"/>
      <c r="J22" s="144" t="s">
        <v>154</v>
      </c>
      <c r="K22" s="145">
        <v>0.03</v>
      </c>
      <c r="L22" s="145"/>
      <c r="M22" s="146" t="s">
        <v>155</v>
      </c>
      <c r="N22" s="147">
        <v>0.03</v>
      </c>
      <c r="O22" s="147"/>
      <c r="P22" s="148">
        <f t="shared" si="0"/>
        <v>0</v>
      </c>
      <c r="Q22" s="148"/>
      <c r="R22" s="148"/>
      <c r="S22" s="148"/>
      <c r="T22" s="149">
        <f t="shared" si="1"/>
        <v>0.03</v>
      </c>
      <c r="U22" s="149"/>
      <c r="V22" s="151" t="s">
        <v>174</v>
      </c>
      <c r="W22" s="151"/>
      <c r="X22" s="151"/>
      <c r="Y22" s="151"/>
      <c r="Z22" s="151"/>
      <c r="AA22" s="92"/>
    </row>
    <row r="23" spans="1:30" ht="24.75" customHeight="1">
      <c r="A23" s="150"/>
      <c r="B23" s="142" t="s">
        <v>175</v>
      </c>
      <c r="C23" s="143" t="s">
        <v>176</v>
      </c>
      <c r="D23" s="143"/>
      <c r="E23" s="143"/>
      <c r="F23" s="143"/>
      <c r="G23" s="143"/>
      <c r="H23" s="143"/>
      <c r="I23" s="143"/>
      <c r="J23" s="144" t="s">
        <v>154</v>
      </c>
      <c r="K23" s="145">
        <v>0.01</v>
      </c>
      <c r="L23" s="145"/>
      <c r="M23" s="146" t="s">
        <v>155</v>
      </c>
      <c r="N23" s="147">
        <v>0.03</v>
      </c>
      <c r="O23" s="147"/>
      <c r="P23" s="148">
        <f t="shared" si="0"/>
        <v>0</v>
      </c>
      <c r="Q23" s="148"/>
      <c r="R23" s="148"/>
      <c r="S23" s="148"/>
      <c r="T23" s="149">
        <v>0</v>
      </c>
      <c r="U23" s="149"/>
      <c r="V23" s="151"/>
      <c r="W23" s="151"/>
      <c r="X23" s="151"/>
      <c r="Y23" s="151"/>
      <c r="Z23" s="151"/>
      <c r="AA23" s="92"/>
      <c r="AB23" s="86"/>
      <c r="AC23" s="86"/>
      <c r="AD23" s="86"/>
    </row>
    <row r="24" spans="1:30" ht="24.75" customHeight="1">
      <c r="A24" s="150"/>
      <c r="B24" s="142" t="s">
        <v>177</v>
      </c>
      <c r="C24" s="152" t="s">
        <v>178</v>
      </c>
      <c r="D24" s="152"/>
      <c r="E24" s="152"/>
      <c r="F24" s="152"/>
      <c r="G24" s="152"/>
      <c r="H24" s="152"/>
      <c r="I24" s="152"/>
      <c r="J24" s="152"/>
      <c r="K24" s="152"/>
      <c r="L24" s="152"/>
      <c r="M24" s="152"/>
      <c r="N24" s="152"/>
      <c r="O24" s="152"/>
      <c r="P24" s="152"/>
      <c r="Q24" s="152"/>
      <c r="R24" s="152"/>
      <c r="S24" s="152"/>
      <c r="T24" s="153">
        <v>0.045</v>
      </c>
      <c r="U24" s="153"/>
      <c r="V24" s="151"/>
      <c r="W24" s="151"/>
      <c r="X24" s="151"/>
      <c r="Y24" s="151"/>
      <c r="Z24" s="151"/>
      <c r="AA24" s="92"/>
      <c r="AB24" s="86"/>
      <c r="AC24" s="86"/>
      <c r="AD24" s="86"/>
    </row>
    <row r="25" spans="1:32" ht="23.25" customHeight="1">
      <c r="A25" s="154"/>
      <c r="B25" s="155"/>
      <c r="C25" s="156"/>
      <c r="D25" s="156"/>
      <c r="E25" s="156"/>
      <c r="F25" s="157"/>
      <c r="G25" s="157"/>
      <c r="H25" s="157"/>
      <c r="I25" s="157"/>
      <c r="J25" s="157"/>
      <c r="K25" s="157"/>
      <c r="L25" s="157"/>
      <c r="M25" s="157"/>
      <c r="N25" s="157"/>
      <c r="O25" s="157"/>
      <c r="P25" s="157"/>
      <c r="Q25" s="157"/>
      <c r="R25" s="157"/>
      <c r="S25" s="158"/>
      <c r="T25" s="159"/>
      <c r="U25" s="159"/>
      <c r="V25" s="160"/>
      <c r="W25" s="161"/>
      <c r="X25" s="162"/>
      <c r="Y25" s="162"/>
      <c r="Z25" s="162"/>
      <c r="AA25" s="92"/>
      <c r="AC25" s="116"/>
      <c r="AF25" s="85"/>
    </row>
    <row r="26" spans="1:32" ht="12.75">
      <c r="A26" s="154"/>
      <c r="B26" s="163"/>
      <c r="C26" s="156"/>
      <c r="D26" s="164"/>
      <c r="E26" s="164"/>
      <c r="F26" s="163"/>
      <c r="G26" s="163"/>
      <c r="H26" s="163"/>
      <c r="I26" s="163"/>
      <c r="J26" s="163"/>
      <c r="K26" s="163"/>
      <c r="L26" s="163"/>
      <c r="M26" s="163"/>
      <c r="N26" s="163"/>
      <c r="O26" s="163"/>
      <c r="P26" s="163"/>
      <c r="Q26" s="163"/>
      <c r="R26" s="163"/>
      <c r="S26" s="163"/>
      <c r="T26" s="165"/>
      <c r="U26" s="165"/>
      <c r="V26" s="166"/>
      <c r="W26" s="167"/>
      <c r="X26" s="168"/>
      <c r="Y26" s="168"/>
      <c r="Z26" s="168"/>
      <c r="AA26" s="92"/>
      <c r="AC26" s="116"/>
      <c r="AF26" s="85"/>
    </row>
    <row r="27" spans="1:32" ht="12.75">
      <c r="A27" s="154"/>
      <c r="B27" s="163"/>
      <c r="C27" s="156"/>
      <c r="D27" s="156"/>
      <c r="E27" s="156"/>
      <c r="F27" s="169"/>
      <c r="G27" s="169"/>
      <c r="H27" s="169"/>
      <c r="I27" s="169"/>
      <c r="J27" s="169"/>
      <c r="K27" s="170"/>
      <c r="L27" s="171"/>
      <c r="M27" s="170"/>
      <c r="N27" s="169"/>
      <c r="O27" s="169"/>
      <c r="P27" s="169"/>
      <c r="Q27" s="169"/>
      <c r="R27" s="169"/>
      <c r="S27" s="172"/>
      <c r="T27" s="173"/>
      <c r="U27" s="173"/>
      <c r="V27" s="174"/>
      <c r="W27" s="168"/>
      <c r="X27" s="168"/>
      <c r="Y27" s="168"/>
      <c r="Z27" s="168"/>
      <c r="AA27" s="92"/>
      <c r="AC27" s="116"/>
      <c r="AF27" s="85"/>
    </row>
    <row r="28" spans="1:32" ht="15" customHeight="1">
      <c r="A28" s="154"/>
      <c r="B28" s="163"/>
      <c r="C28" s="156"/>
      <c r="D28" s="156"/>
      <c r="E28" s="156"/>
      <c r="F28" s="169"/>
      <c r="G28" s="169"/>
      <c r="H28" s="169"/>
      <c r="I28" s="169"/>
      <c r="J28" s="169"/>
      <c r="K28" s="175" t="s">
        <v>179</v>
      </c>
      <c r="L28" s="175"/>
      <c r="M28" s="175"/>
      <c r="N28" s="175"/>
      <c r="O28" s="169"/>
      <c r="P28" s="169"/>
      <c r="Q28" s="176"/>
      <c r="R28" s="176"/>
      <c r="S28" s="176"/>
      <c r="T28" s="176"/>
      <c r="U28" s="173"/>
      <c r="V28" s="174"/>
      <c r="W28" s="168"/>
      <c r="X28" s="168"/>
      <c r="Y28" s="168"/>
      <c r="Z28" s="168"/>
      <c r="AA28" s="92"/>
      <c r="AC28" s="116"/>
      <c r="AF28" s="85"/>
    </row>
    <row r="29" spans="1:32" ht="12.75" customHeight="1">
      <c r="A29" s="154"/>
      <c r="B29" s="163"/>
      <c r="C29" s="156"/>
      <c r="D29" s="156"/>
      <c r="E29" s="156"/>
      <c r="F29" s="169"/>
      <c r="G29" s="169"/>
      <c r="H29" s="169"/>
      <c r="I29" s="169"/>
      <c r="J29" s="169"/>
      <c r="K29" s="177" t="s">
        <v>180</v>
      </c>
      <c r="L29" s="177"/>
      <c r="M29" s="177"/>
      <c r="N29" s="177"/>
      <c r="O29" s="169"/>
      <c r="P29" s="169"/>
      <c r="Q29" s="178"/>
      <c r="R29" s="178"/>
      <c r="S29" s="178"/>
      <c r="T29" s="178"/>
      <c r="U29" s="173"/>
      <c r="V29" s="174"/>
      <c r="W29" s="168"/>
      <c r="X29" s="168"/>
      <c r="Y29" s="168"/>
      <c r="Z29" s="168"/>
      <c r="AA29" s="92"/>
      <c r="AC29" s="116"/>
      <c r="AF29" s="85"/>
    </row>
    <row r="30" spans="1:32" ht="12.75" customHeight="1">
      <c r="A30" s="154"/>
      <c r="B30" s="163"/>
      <c r="C30" s="156"/>
      <c r="D30" s="164"/>
      <c r="E30" s="164"/>
      <c r="F30" s="179"/>
      <c r="G30" s="180"/>
      <c r="H30" s="180"/>
      <c r="I30" s="180"/>
      <c r="J30" s="180"/>
      <c r="K30" s="177" t="s">
        <v>181</v>
      </c>
      <c r="L30" s="177"/>
      <c r="M30" s="177"/>
      <c r="N30" s="177"/>
      <c r="O30" s="180"/>
      <c r="P30" s="180"/>
      <c r="Q30" s="178"/>
      <c r="R30" s="178"/>
      <c r="S30" s="178"/>
      <c r="T30" s="178"/>
      <c r="U30" s="165"/>
      <c r="V30" s="166"/>
      <c r="W30" s="167"/>
      <c r="X30" s="168"/>
      <c r="Y30" s="181"/>
      <c r="Z30" s="181"/>
      <c r="AA30" s="92"/>
      <c r="AC30" s="116"/>
      <c r="AF30" s="85"/>
    </row>
    <row r="31" spans="1:32" ht="18" customHeight="1">
      <c r="A31" s="154"/>
      <c r="B31" s="155"/>
      <c r="C31" s="156"/>
      <c r="D31" s="182"/>
      <c r="E31" s="183"/>
      <c r="F31" s="184"/>
      <c r="G31" s="184"/>
      <c r="H31" s="184"/>
      <c r="I31" s="184"/>
      <c r="J31" s="184"/>
      <c r="K31" s="177"/>
      <c r="L31" s="177"/>
      <c r="M31" s="177"/>
      <c r="N31" s="177"/>
      <c r="O31" s="184"/>
      <c r="P31" s="184"/>
      <c r="Q31" s="184"/>
      <c r="R31" s="184"/>
      <c r="S31" s="182"/>
      <c r="T31" s="165"/>
      <c r="U31" s="165"/>
      <c r="V31" s="166"/>
      <c r="W31" s="167"/>
      <c r="X31" s="168"/>
      <c r="Y31" s="168"/>
      <c r="Z31" s="168"/>
      <c r="AA31" s="92"/>
      <c r="AC31" s="116"/>
      <c r="AF31" s="85"/>
    </row>
    <row r="36" ht="49.5" customHeight="1"/>
    <row r="37" ht="27" customHeight="1"/>
    <row r="39" ht="21" customHeight="1"/>
    <row r="40" ht="22.5" customHeight="1"/>
    <row r="41" ht="35.25" customHeight="1"/>
    <row r="42" ht="29.25" customHeight="1"/>
    <row r="43" ht="30.75" customHeight="1"/>
    <row r="44" ht="26.25" customHeight="1"/>
    <row r="47" ht="25.5" customHeight="1"/>
    <row r="48" ht="14.25" customHeight="1"/>
    <row r="49" ht="24" customHeight="1"/>
    <row r="51" ht="14.25" customHeight="1"/>
    <row r="52" ht="20.25" customHeight="1"/>
    <row r="53" ht="13.5" customHeight="1"/>
    <row r="54" ht="23.25" customHeight="1"/>
    <row r="55" ht="37.5" customHeight="1"/>
    <row r="56" ht="26.25" customHeight="1"/>
    <row r="57" ht="30" customHeight="1"/>
    <row r="58" ht="28.5" customHeight="1"/>
    <row r="59" ht="27.75" customHeight="1"/>
    <row r="60" ht="29.25" customHeight="1"/>
    <row r="61" ht="25.5" customHeight="1"/>
    <row r="62" ht="24.75" customHeight="1"/>
    <row r="63" ht="24.75" customHeight="1"/>
    <row r="64" ht="33.75" customHeight="1"/>
    <row r="65" ht="30" customHeight="1"/>
    <row r="66" ht="16.5" customHeight="1"/>
    <row r="67" ht="31.5" customHeight="1"/>
    <row r="73" ht="33.75" customHeight="1"/>
    <row r="78" ht="33.75" customHeight="1"/>
    <row r="79" ht="33.75" customHeight="1"/>
    <row r="87" ht="30" customHeight="1"/>
    <row r="88" ht="24.75" customHeight="1"/>
    <row r="89" ht="24.75" customHeight="1"/>
    <row r="90" ht="24.75" customHeight="1"/>
    <row r="91" ht="39.75" customHeight="1"/>
    <row r="92" ht="39.75" customHeight="1"/>
    <row r="93" ht="39.75" customHeight="1"/>
    <row r="94" ht="13.5" customHeight="1"/>
    <row r="98" ht="19.5" customHeight="1"/>
    <row r="118" ht="22.5" customHeight="1"/>
  </sheetData>
  <sheetProtection selectLockedCells="1" selectUnlockedCells="1"/>
  <mergeCells count="78">
    <mergeCell ref="E2:X3"/>
    <mergeCell ref="B5:V5"/>
    <mergeCell ref="W5:Z5"/>
    <mergeCell ref="B8:V8"/>
    <mergeCell ref="W8:Z8"/>
    <mergeCell ref="B11:T11"/>
    <mergeCell ref="U11:Z11"/>
    <mergeCell ref="B13:E14"/>
    <mergeCell ref="J13:O14"/>
    <mergeCell ref="P13:U14"/>
    <mergeCell ref="V13:X14"/>
    <mergeCell ref="Y13:Z14"/>
    <mergeCell ref="C15:I15"/>
    <mergeCell ref="K15:L15"/>
    <mergeCell ref="N15:O15"/>
    <mergeCell ref="T15:U15"/>
    <mergeCell ref="V15:Z16"/>
    <mergeCell ref="C16:I16"/>
    <mergeCell ref="K16:L16"/>
    <mergeCell ref="N16:O16"/>
    <mergeCell ref="P16:S16"/>
    <mergeCell ref="T16:U16"/>
    <mergeCell ref="C17:I17"/>
    <mergeCell ref="K17:L17"/>
    <mergeCell ref="N17:O17"/>
    <mergeCell ref="P17:S17"/>
    <mergeCell ref="T17:U17"/>
    <mergeCell ref="V17:Z17"/>
    <mergeCell ref="C18:I18"/>
    <mergeCell ref="K18:L18"/>
    <mergeCell ref="N18:O18"/>
    <mergeCell ref="P18:S18"/>
    <mergeCell ref="T18:U18"/>
    <mergeCell ref="V18:Z18"/>
    <mergeCell ref="C19:I19"/>
    <mergeCell ref="K19:L19"/>
    <mergeCell ref="N19:O19"/>
    <mergeCell ref="P19:S19"/>
    <mergeCell ref="T19:U19"/>
    <mergeCell ref="V19:Z21"/>
    <mergeCell ref="C20:I20"/>
    <mergeCell ref="K20:L20"/>
    <mergeCell ref="N20:O20"/>
    <mergeCell ref="P20:S20"/>
    <mergeCell ref="T20:U20"/>
    <mergeCell ref="C21:I21"/>
    <mergeCell ref="K21:L21"/>
    <mergeCell ref="N21:O21"/>
    <mergeCell ref="P21:S21"/>
    <mergeCell ref="T21:U21"/>
    <mergeCell ref="C22:I22"/>
    <mergeCell ref="K22:L22"/>
    <mergeCell ref="N22:O22"/>
    <mergeCell ref="P22:S22"/>
    <mergeCell ref="T22:U22"/>
    <mergeCell ref="V22:Z24"/>
    <mergeCell ref="C23:I23"/>
    <mergeCell ref="K23:L23"/>
    <mergeCell ref="N23:O23"/>
    <mergeCell ref="P23:S23"/>
    <mergeCell ref="T23:U23"/>
    <mergeCell ref="C24:S24"/>
    <mergeCell ref="T24:U24"/>
    <mergeCell ref="D25:E25"/>
    <mergeCell ref="F25:R25"/>
    <mergeCell ref="T25:U25"/>
    <mergeCell ref="Y25:Z25"/>
    <mergeCell ref="Y26:Z26"/>
    <mergeCell ref="K28:N28"/>
    <mergeCell ref="Q28:T28"/>
    <mergeCell ref="K29:N29"/>
    <mergeCell ref="Q29:T29"/>
    <mergeCell ref="K30:N30"/>
    <mergeCell ref="Q30:T30"/>
    <mergeCell ref="Y30:Z30"/>
    <mergeCell ref="K31:L31"/>
    <mergeCell ref="M31:N31"/>
    <mergeCell ref="Y31:Z31"/>
  </mergeCells>
  <printOptions/>
  <pageMargins left="0.7875" right="0.7875" top="1.0527777777777778" bottom="1.0527777777777778" header="0.7875" footer="0.7875"/>
  <pageSetup fitToHeight="0" fitToWidth="1"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P31"/>
  <sheetViews>
    <sheetView view="pageBreakPreview" zoomScale="75" zoomScaleSheetLayoutView="75" workbookViewId="0" topLeftCell="A6">
      <selection activeCell="V20" sqref="V20"/>
    </sheetView>
  </sheetViews>
  <sheetFormatPr defaultColWidth="8.00390625" defaultRowHeight="12.75"/>
  <cols>
    <col min="1" max="1" width="1.57421875" style="0" customWidth="1"/>
    <col min="2" max="2" width="7.28125" style="0" customWidth="1"/>
    <col min="3" max="3" width="7.140625" style="0" customWidth="1"/>
    <col min="4" max="4" width="3.28125" style="0" customWidth="1"/>
    <col min="5" max="5" width="32.7109375" style="0" customWidth="1"/>
    <col min="6" max="8" width="3.28125" style="0" customWidth="1"/>
    <col min="9" max="9" width="0.85546875" style="0" customWidth="1"/>
    <col min="10" max="11" width="6.140625" style="0" customWidth="1"/>
    <col min="12" max="14" width="8.421875" style="0" customWidth="1"/>
    <col min="15" max="15" width="12.28125" style="0" customWidth="1"/>
    <col min="16" max="17" width="3.28125" style="0" customWidth="1"/>
    <col min="18" max="18" width="3.57421875" style="0" customWidth="1"/>
    <col min="19" max="20" width="3.28125" style="0" customWidth="1"/>
    <col min="21" max="21" width="16.7109375" style="0" customWidth="1"/>
    <col min="22" max="22" width="3.28125" style="0" customWidth="1"/>
    <col min="23" max="23" width="7.57421875" style="0" customWidth="1"/>
    <col min="24" max="24" width="6.28125" style="0" customWidth="1"/>
    <col min="25" max="25" width="3.28125" style="0" customWidth="1"/>
    <col min="26" max="26" width="4.28125" style="0" customWidth="1"/>
    <col min="27" max="28" width="3.28125" style="0" customWidth="1"/>
    <col min="29" max="29" width="3.140625" style="0" customWidth="1"/>
    <col min="30" max="30" width="3.8515625" style="0" customWidth="1"/>
    <col min="31" max="32" width="3.28125" style="0" customWidth="1"/>
    <col min="33" max="33" width="1.7109375" style="0" customWidth="1"/>
    <col min="34" max="34" width="7.28125" style="0" customWidth="1"/>
    <col min="35" max="35" width="9.00390625" style="0" customWidth="1"/>
    <col min="36" max="36" width="4.00390625" style="0" customWidth="1"/>
    <col min="37" max="37" width="16.28125" style="0" customWidth="1"/>
    <col min="38" max="38" width="9.00390625" style="0" customWidth="1"/>
    <col min="39" max="40" width="3.28125" style="0" customWidth="1"/>
    <col min="41" max="41" width="11.57421875" style="0" customWidth="1"/>
    <col min="42" max="42" width="3.28125" style="0" customWidth="1"/>
    <col min="43" max="43" width="12.8515625" style="0" customWidth="1"/>
    <col min="44" max="51" width="3.28125" style="0" customWidth="1"/>
  </cols>
  <sheetData>
    <row r="1" spans="5:35" ht="15" customHeight="1">
      <c r="E1" s="85"/>
      <c r="F1" s="85"/>
      <c r="G1" s="85"/>
      <c r="H1" s="85"/>
      <c r="I1" s="85"/>
      <c r="J1" s="85"/>
      <c r="AI1" s="86"/>
    </row>
    <row r="2" spans="2:37" ht="12.75" customHeight="1">
      <c r="B2" s="87"/>
      <c r="C2" s="88"/>
      <c r="D2" s="88"/>
      <c r="E2" s="89" t="s">
        <v>182</v>
      </c>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90"/>
      <c r="AI2" s="90"/>
      <c r="AJ2" s="91"/>
      <c r="AK2" s="92"/>
    </row>
    <row r="3" spans="2:37" ht="18" customHeight="1">
      <c r="B3" s="93"/>
      <c r="C3" s="94"/>
      <c r="D3" s="94"/>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95"/>
      <c r="AI3" s="95"/>
      <c r="AJ3" s="96"/>
      <c r="AK3" s="92"/>
    </row>
    <row r="4" spans="2:37" ht="16.5" customHeight="1">
      <c r="B4" s="93"/>
      <c r="C4" s="94"/>
      <c r="D4" s="94"/>
      <c r="E4" s="94"/>
      <c r="F4" s="94"/>
      <c r="G4" s="94"/>
      <c r="H4" s="95"/>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7"/>
      <c r="AK4" s="92"/>
    </row>
    <row r="5" spans="2:42" s="86" customFormat="1" ht="19.5">
      <c r="B5" s="98"/>
      <c r="C5" s="98"/>
      <c r="D5" s="98"/>
      <c r="E5" s="98"/>
      <c r="F5" s="98"/>
      <c r="G5" s="98"/>
      <c r="H5" s="98"/>
      <c r="I5" s="98"/>
      <c r="J5" s="98"/>
      <c r="K5" s="98"/>
      <c r="L5" s="98"/>
      <c r="M5" s="98"/>
      <c r="N5" s="98"/>
      <c r="O5" s="98"/>
      <c r="P5" s="98"/>
      <c r="Q5" s="98"/>
      <c r="R5" s="98"/>
      <c r="S5" s="98"/>
      <c r="T5" s="98"/>
      <c r="U5" s="98"/>
      <c r="V5" s="98"/>
      <c r="W5" s="98"/>
      <c r="X5" s="98"/>
      <c r="Y5" s="185"/>
      <c r="Z5" s="185"/>
      <c r="AA5" s="185"/>
      <c r="AB5" s="185"/>
      <c r="AC5" s="185"/>
      <c r="AD5" s="99"/>
      <c r="AE5" s="99"/>
      <c r="AF5" s="99"/>
      <c r="AG5" s="99"/>
      <c r="AH5" s="99"/>
      <c r="AI5" s="99"/>
      <c r="AJ5" s="99"/>
      <c r="AK5" s="92"/>
      <c r="AP5" s="100"/>
    </row>
    <row r="6" spans="2:37" ht="19.5">
      <c r="B6" s="101"/>
      <c r="C6" s="102"/>
      <c r="D6" s="102"/>
      <c r="E6" s="102"/>
      <c r="F6" s="102"/>
      <c r="G6" s="102"/>
      <c r="H6" s="102"/>
      <c r="I6" s="102"/>
      <c r="J6" s="102"/>
      <c r="K6" s="103"/>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5"/>
      <c r="AK6" s="92"/>
    </row>
    <row r="7" spans="2:42" s="86" customFormat="1" ht="18.75">
      <c r="B7" s="106" t="s">
        <v>140</v>
      </c>
      <c r="C7" s="107"/>
      <c r="D7" s="107"/>
      <c r="E7" s="107"/>
      <c r="F7" s="107"/>
      <c r="G7" s="107"/>
      <c r="H7" s="107"/>
      <c r="I7" s="104"/>
      <c r="J7" s="104"/>
      <c r="K7" s="104"/>
      <c r="L7" s="104"/>
      <c r="M7" s="104"/>
      <c r="N7" s="104"/>
      <c r="O7" s="104"/>
      <c r="P7" s="104"/>
      <c r="Q7" s="104"/>
      <c r="R7" s="104"/>
      <c r="S7" s="104"/>
      <c r="T7" s="104"/>
      <c r="U7" s="104"/>
      <c r="V7" s="104"/>
      <c r="W7" s="107"/>
      <c r="X7" s="107"/>
      <c r="Y7" s="107"/>
      <c r="Z7" s="107"/>
      <c r="AA7" s="107"/>
      <c r="AB7" s="104"/>
      <c r="AC7" s="104"/>
      <c r="AD7" s="108" t="s">
        <v>141</v>
      </c>
      <c r="AE7" s="104"/>
      <c r="AF7" s="104"/>
      <c r="AG7" s="104"/>
      <c r="AH7" s="104"/>
      <c r="AI7" s="104"/>
      <c r="AJ7" s="105"/>
      <c r="AK7" s="92"/>
      <c r="AP7" s="100"/>
    </row>
    <row r="8" spans="1:42" ht="19.5">
      <c r="A8" s="86"/>
      <c r="B8" s="109" t="s">
        <v>142</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10" t="s">
        <v>143</v>
      </c>
      <c r="AE8" s="110"/>
      <c r="AF8" s="110"/>
      <c r="AG8" s="110"/>
      <c r="AH8" s="110"/>
      <c r="AI8" s="110"/>
      <c r="AJ8" s="110"/>
      <c r="AK8" s="92"/>
      <c r="AP8" s="100"/>
    </row>
    <row r="9" spans="2:42" s="111" customFormat="1" ht="18.75">
      <c r="B9" s="106"/>
      <c r="C9" s="107"/>
      <c r="D9" s="107"/>
      <c r="E9" s="107"/>
      <c r="F9" s="107"/>
      <c r="G9" s="107"/>
      <c r="H9" s="107"/>
      <c r="I9" s="107"/>
      <c r="J9" s="107"/>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5"/>
      <c r="AK9" s="112"/>
      <c r="AP9" s="113"/>
    </row>
    <row r="10" spans="2:42" s="86" customFormat="1" ht="18.75">
      <c r="B10" s="106" t="s">
        <v>144</v>
      </c>
      <c r="C10" s="107"/>
      <c r="D10" s="107"/>
      <c r="E10" s="104"/>
      <c r="F10" s="104"/>
      <c r="G10" s="104"/>
      <c r="H10" s="104"/>
      <c r="I10" s="104"/>
      <c r="J10" s="104"/>
      <c r="K10" s="104"/>
      <c r="L10" s="104"/>
      <c r="M10" s="104"/>
      <c r="N10" s="104"/>
      <c r="O10" s="104"/>
      <c r="P10" s="104"/>
      <c r="Q10" s="104"/>
      <c r="R10" s="104"/>
      <c r="S10" s="104"/>
      <c r="T10" s="104"/>
      <c r="U10" s="104"/>
      <c r="V10" s="104"/>
      <c r="W10" s="108" t="s">
        <v>145</v>
      </c>
      <c r="X10" s="104"/>
      <c r="Y10" s="107"/>
      <c r="Z10" s="107"/>
      <c r="AA10" s="107"/>
      <c r="AB10" s="107"/>
      <c r="AC10" s="107"/>
      <c r="AD10" s="104"/>
      <c r="AE10" s="107"/>
      <c r="AF10" s="103"/>
      <c r="AG10" s="104"/>
      <c r="AH10" s="104"/>
      <c r="AI10" s="104"/>
      <c r="AJ10" s="105"/>
      <c r="AK10" s="92"/>
      <c r="AP10" s="100"/>
    </row>
    <row r="11" spans="2:37" ht="51" customHeight="1">
      <c r="B11" s="114" t="s">
        <v>146</v>
      </c>
      <c r="C11" s="114"/>
      <c r="D11" s="114"/>
      <c r="E11" s="114"/>
      <c r="F11" s="114"/>
      <c r="G11" s="114"/>
      <c r="H11" s="114"/>
      <c r="I11" s="114"/>
      <c r="J11" s="114"/>
      <c r="K11" s="114"/>
      <c r="L11" s="114"/>
      <c r="M11" s="114"/>
      <c r="N11" s="114"/>
      <c r="O11" s="114"/>
      <c r="P11" s="114"/>
      <c r="Q11" s="114"/>
      <c r="R11" s="114"/>
      <c r="S11" s="114"/>
      <c r="T11" s="114"/>
      <c r="U11" s="114"/>
      <c r="V11" s="114"/>
      <c r="W11" s="115" t="s">
        <v>147</v>
      </c>
      <c r="X11" s="115"/>
      <c r="Y11" s="115"/>
      <c r="Z11" s="115"/>
      <c r="AA11" s="115"/>
      <c r="AB11" s="115"/>
      <c r="AC11" s="115"/>
      <c r="AD11" s="115"/>
      <c r="AE11" s="115"/>
      <c r="AF11" s="115"/>
      <c r="AG11" s="115"/>
      <c r="AH11" s="115"/>
      <c r="AI11" s="115"/>
      <c r="AJ11" s="115"/>
      <c r="AK11" s="92"/>
    </row>
    <row r="12" spans="2:42" s="85" customFormat="1" ht="38.25" customHeight="1">
      <c r="B12" s="85" t="s">
        <v>183</v>
      </c>
      <c r="C12" s="107"/>
      <c r="D12" s="107"/>
      <c r="E12" s="107"/>
      <c r="F12" s="107"/>
      <c r="G12" s="107"/>
      <c r="H12" s="107"/>
      <c r="I12" s="107"/>
      <c r="J12" s="107"/>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5"/>
      <c r="AK12" s="92"/>
      <c r="AP12" s="116"/>
    </row>
    <row r="13" spans="2:37" ht="12" customHeight="1">
      <c r="B13" s="117" t="s">
        <v>149</v>
      </c>
      <c r="C13" s="117"/>
      <c r="D13" s="117"/>
      <c r="E13" s="117"/>
      <c r="F13" s="118"/>
      <c r="G13" s="118"/>
      <c r="H13" s="118"/>
      <c r="I13" s="118"/>
      <c r="J13" s="119" t="s">
        <v>150</v>
      </c>
      <c r="K13" s="119"/>
      <c r="L13" s="119"/>
      <c r="M13" s="119"/>
      <c r="N13" s="119"/>
      <c r="O13" s="119"/>
      <c r="P13" s="120" t="s">
        <v>151</v>
      </c>
      <c r="Q13" s="120"/>
      <c r="R13" s="120"/>
      <c r="S13" s="120"/>
      <c r="T13" s="120"/>
      <c r="U13" s="120"/>
      <c r="V13" s="120"/>
      <c r="W13" s="120"/>
      <c r="X13" s="120" t="s">
        <v>152</v>
      </c>
      <c r="Y13" s="120"/>
      <c r="Z13" s="120"/>
      <c r="AA13" s="120"/>
      <c r="AB13" s="120"/>
      <c r="AC13" s="120"/>
      <c r="AD13" s="120"/>
      <c r="AE13" s="120"/>
      <c r="AF13" s="120"/>
      <c r="AG13" s="120"/>
      <c r="AH13" s="120"/>
      <c r="AI13" s="121">
        <f>ROUND(((1+V18+V16+V15)*(1+V17)*(1+V19)/(1-V20)-1),4)</f>
        <v>0.2644</v>
      </c>
      <c r="AJ13" s="121"/>
      <c r="AK13" s="92"/>
    </row>
    <row r="14" spans="2:37" ht="25.5" customHeight="1">
      <c r="B14" s="117"/>
      <c r="C14" s="117"/>
      <c r="D14" s="117"/>
      <c r="E14" s="117"/>
      <c r="F14" s="122"/>
      <c r="G14" s="122"/>
      <c r="H14" s="122"/>
      <c r="I14" s="122"/>
      <c r="J14" s="119"/>
      <c r="K14" s="119"/>
      <c r="L14" s="119"/>
      <c r="M14" s="119"/>
      <c r="N14" s="119"/>
      <c r="O14" s="119"/>
      <c r="P14" s="120"/>
      <c r="Q14" s="120"/>
      <c r="R14" s="120"/>
      <c r="S14" s="120"/>
      <c r="T14" s="120"/>
      <c r="U14" s="120"/>
      <c r="V14" s="120"/>
      <c r="W14" s="120"/>
      <c r="X14" s="120"/>
      <c r="Y14" s="120"/>
      <c r="Z14" s="120"/>
      <c r="AA14" s="120"/>
      <c r="AB14" s="120"/>
      <c r="AC14" s="120"/>
      <c r="AD14" s="120"/>
      <c r="AE14" s="120"/>
      <c r="AF14" s="120"/>
      <c r="AG14" s="120"/>
      <c r="AH14" s="120"/>
      <c r="AI14" s="121"/>
      <c r="AJ14" s="121"/>
      <c r="AK14" s="92"/>
    </row>
    <row r="15" spans="1:42" ht="24.75" customHeight="1">
      <c r="A15" s="123"/>
      <c r="B15" s="124">
        <v>1</v>
      </c>
      <c r="C15" s="125" t="s">
        <v>153</v>
      </c>
      <c r="D15" s="125"/>
      <c r="E15" s="125"/>
      <c r="F15" s="125"/>
      <c r="G15" s="125"/>
      <c r="H15" s="125"/>
      <c r="I15" s="125"/>
      <c r="J15" s="126" t="s">
        <v>154</v>
      </c>
      <c r="K15" s="127">
        <v>0.0028</v>
      </c>
      <c r="L15" s="127"/>
      <c r="M15" s="128" t="s">
        <v>155</v>
      </c>
      <c r="N15" s="129">
        <v>0.007500000000000001</v>
      </c>
      <c r="O15" s="129"/>
      <c r="P15" s="130" t="s">
        <v>156</v>
      </c>
      <c r="Q15" s="131"/>
      <c r="R15" s="131"/>
      <c r="S15" s="131"/>
      <c r="T15" s="131"/>
      <c r="U15" s="186"/>
      <c r="V15" s="132">
        <v>0.0028000000000000004</v>
      </c>
      <c r="W15" s="132"/>
      <c r="X15" s="133" t="s">
        <v>157</v>
      </c>
      <c r="Y15" s="133"/>
      <c r="Z15" s="133"/>
      <c r="AA15" s="133"/>
      <c r="AB15" s="133"/>
      <c r="AC15" s="133"/>
      <c r="AD15" s="133"/>
      <c r="AE15" s="133"/>
      <c r="AF15" s="133"/>
      <c r="AG15" s="133"/>
      <c r="AH15" s="133"/>
      <c r="AI15" s="133"/>
      <c r="AJ15" s="133"/>
      <c r="AK15" s="92"/>
      <c r="AN15" s="116"/>
      <c r="AP15" s="85"/>
    </row>
    <row r="16" spans="1:42" ht="24.75" customHeight="1">
      <c r="A16" s="123"/>
      <c r="B16" s="124">
        <v>2</v>
      </c>
      <c r="C16" s="134" t="s">
        <v>158</v>
      </c>
      <c r="D16" s="134"/>
      <c r="E16" s="134"/>
      <c r="F16" s="134"/>
      <c r="G16" s="134"/>
      <c r="H16" s="134"/>
      <c r="I16" s="134"/>
      <c r="J16" s="135" t="s">
        <v>154</v>
      </c>
      <c r="K16" s="136">
        <v>0.01</v>
      </c>
      <c r="L16" s="136"/>
      <c r="M16" s="137" t="s">
        <v>155</v>
      </c>
      <c r="N16" s="138">
        <v>0.017400000000000002</v>
      </c>
      <c r="O16" s="138"/>
      <c r="P16" s="139" t="s">
        <v>159</v>
      </c>
      <c r="Q16" s="139"/>
      <c r="R16" s="139"/>
      <c r="S16" s="139"/>
      <c r="T16" s="139"/>
      <c r="U16" s="139"/>
      <c r="V16" s="132">
        <v>0.01</v>
      </c>
      <c r="W16" s="132"/>
      <c r="X16" s="133"/>
      <c r="Y16" s="133"/>
      <c r="Z16" s="133"/>
      <c r="AA16" s="133"/>
      <c r="AB16" s="133"/>
      <c r="AC16" s="133"/>
      <c r="AD16" s="133"/>
      <c r="AE16" s="133"/>
      <c r="AF16" s="133"/>
      <c r="AG16" s="133"/>
      <c r="AH16" s="133"/>
      <c r="AI16" s="133"/>
      <c r="AJ16" s="133"/>
      <c r="AK16" s="92"/>
      <c r="AN16" s="116"/>
      <c r="AP16" s="85"/>
    </row>
    <row r="17" spans="1:42" ht="24.75" customHeight="1">
      <c r="A17" s="123"/>
      <c r="B17" s="124">
        <v>3</v>
      </c>
      <c r="C17" s="134" t="s">
        <v>160</v>
      </c>
      <c r="D17" s="134"/>
      <c r="E17" s="134"/>
      <c r="F17" s="134"/>
      <c r="G17" s="134"/>
      <c r="H17" s="134"/>
      <c r="I17" s="134"/>
      <c r="J17" s="135" t="s">
        <v>154</v>
      </c>
      <c r="K17" s="136">
        <v>0.0094</v>
      </c>
      <c r="L17" s="136"/>
      <c r="M17" s="137" t="s">
        <v>155</v>
      </c>
      <c r="N17" s="138">
        <v>0.0117</v>
      </c>
      <c r="O17" s="138"/>
      <c r="P17" s="139" t="s">
        <v>161</v>
      </c>
      <c r="Q17" s="139"/>
      <c r="R17" s="139"/>
      <c r="S17" s="139"/>
      <c r="T17" s="139"/>
      <c r="U17" s="139"/>
      <c r="V17" s="132">
        <f>(K17+N17)/2</f>
        <v>0.01055</v>
      </c>
      <c r="W17" s="132"/>
      <c r="X17" s="140"/>
      <c r="Y17" s="140"/>
      <c r="Z17" s="140"/>
      <c r="AA17" s="140"/>
      <c r="AB17" s="140"/>
      <c r="AC17" s="140"/>
      <c r="AD17" s="140"/>
      <c r="AE17" s="140"/>
      <c r="AF17" s="140"/>
      <c r="AG17" s="140"/>
      <c r="AH17" s="140"/>
      <c r="AI17" s="140"/>
      <c r="AJ17" s="140"/>
      <c r="AK17" s="92"/>
      <c r="AN17" s="116"/>
      <c r="AP17" s="85"/>
    </row>
    <row r="18" spans="1:42" ht="24.75" customHeight="1">
      <c r="A18" s="123"/>
      <c r="B18" s="124">
        <v>4</v>
      </c>
      <c r="C18" s="134" t="s">
        <v>162</v>
      </c>
      <c r="D18" s="134"/>
      <c r="E18" s="134"/>
      <c r="F18" s="134"/>
      <c r="G18" s="134"/>
      <c r="H18" s="134"/>
      <c r="I18" s="134"/>
      <c r="J18" s="135" t="s">
        <v>154</v>
      </c>
      <c r="K18" s="136">
        <v>0.034300000000000004</v>
      </c>
      <c r="L18" s="136"/>
      <c r="M18" s="137" t="s">
        <v>155</v>
      </c>
      <c r="N18" s="138">
        <v>0.0671</v>
      </c>
      <c r="O18" s="138"/>
      <c r="P18" s="139" t="s">
        <v>163</v>
      </c>
      <c r="Q18" s="139"/>
      <c r="R18" s="139"/>
      <c r="S18" s="139"/>
      <c r="T18" s="139"/>
      <c r="U18" s="139"/>
      <c r="V18" s="132">
        <v>0.034300000000000004</v>
      </c>
      <c r="W18" s="132"/>
      <c r="X18" s="141" t="s">
        <v>164</v>
      </c>
      <c r="Y18" s="141"/>
      <c r="Z18" s="141"/>
      <c r="AA18" s="141"/>
      <c r="AB18" s="141"/>
      <c r="AC18" s="141"/>
      <c r="AD18" s="141"/>
      <c r="AE18" s="141"/>
      <c r="AF18" s="141"/>
      <c r="AG18" s="141"/>
      <c r="AH18" s="141"/>
      <c r="AI18" s="141"/>
      <c r="AJ18" s="141"/>
      <c r="AK18" s="92"/>
      <c r="AN18" s="116"/>
      <c r="AP18" s="85"/>
    </row>
    <row r="19" spans="1:42" ht="24.75" customHeight="1">
      <c r="A19" s="123"/>
      <c r="B19" s="124">
        <v>5</v>
      </c>
      <c r="C19" s="134" t="s">
        <v>165</v>
      </c>
      <c r="D19" s="134"/>
      <c r="E19" s="134"/>
      <c r="F19" s="134"/>
      <c r="G19" s="134"/>
      <c r="H19" s="134"/>
      <c r="I19" s="134"/>
      <c r="J19" s="135" t="s">
        <v>154</v>
      </c>
      <c r="K19" s="136">
        <v>0.0674</v>
      </c>
      <c r="L19" s="136"/>
      <c r="M19" s="137" t="s">
        <v>155</v>
      </c>
      <c r="N19" s="138">
        <v>0.094</v>
      </c>
      <c r="O19" s="138"/>
      <c r="P19" s="139" t="s">
        <v>166</v>
      </c>
      <c r="Q19" s="139"/>
      <c r="R19" s="139"/>
      <c r="S19" s="139"/>
      <c r="T19" s="139"/>
      <c r="U19" s="139"/>
      <c r="V19" s="132">
        <v>0.0736</v>
      </c>
      <c r="W19" s="132"/>
      <c r="X19" s="140" t="s">
        <v>167</v>
      </c>
      <c r="Y19" s="140"/>
      <c r="Z19" s="140"/>
      <c r="AA19" s="140"/>
      <c r="AB19" s="140"/>
      <c r="AC19" s="140"/>
      <c r="AD19" s="140"/>
      <c r="AE19" s="140"/>
      <c r="AF19" s="140"/>
      <c r="AG19" s="140"/>
      <c r="AH19" s="140"/>
      <c r="AI19" s="140"/>
      <c r="AJ19" s="140"/>
      <c r="AK19" s="92"/>
      <c r="AN19" s="116"/>
      <c r="AP19" s="85"/>
    </row>
    <row r="20" spans="1:42" ht="24.75" customHeight="1">
      <c r="A20" s="123"/>
      <c r="B20" s="124">
        <v>6</v>
      </c>
      <c r="C20" s="134" t="s">
        <v>168</v>
      </c>
      <c r="D20" s="134"/>
      <c r="E20" s="134"/>
      <c r="F20" s="134"/>
      <c r="G20" s="134"/>
      <c r="H20" s="134"/>
      <c r="I20" s="134"/>
      <c r="J20" s="135" t="s">
        <v>154</v>
      </c>
      <c r="K20" s="136">
        <f>K21+K22+K23</f>
        <v>0.0465</v>
      </c>
      <c r="L20" s="136"/>
      <c r="M20" s="137" t="s">
        <v>155</v>
      </c>
      <c r="N20" s="138">
        <v>0.1315</v>
      </c>
      <c r="O20" s="138"/>
      <c r="P20" s="139" t="s">
        <v>169</v>
      </c>
      <c r="Q20" s="139"/>
      <c r="R20" s="139"/>
      <c r="S20" s="139"/>
      <c r="T20" s="139"/>
      <c r="U20" s="139"/>
      <c r="V20" s="132">
        <f>V21+V22+V23+V24</f>
        <v>0.10149999999999999</v>
      </c>
      <c r="W20" s="132"/>
      <c r="X20" s="140"/>
      <c r="Y20" s="140"/>
      <c r="Z20" s="140"/>
      <c r="AA20" s="140"/>
      <c r="AB20" s="140"/>
      <c r="AC20" s="140"/>
      <c r="AD20" s="140"/>
      <c r="AE20" s="140"/>
      <c r="AF20" s="140"/>
      <c r="AG20" s="140"/>
      <c r="AH20" s="140"/>
      <c r="AI20" s="140"/>
      <c r="AJ20" s="140"/>
      <c r="AK20" s="92"/>
      <c r="AN20" s="116"/>
      <c r="AP20" s="85"/>
    </row>
    <row r="21" spans="1:42" ht="24.75" customHeight="1">
      <c r="A21" s="123"/>
      <c r="B21" s="142" t="s">
        <v>170</v>
      </c>
      <c r="C21" s="143" t="s">
        <v>171</v>
      </c>
      <c r="D21" s="143"/>
      <c r="E21" s="143"/>
      <c r="F21" s="143"/>
      <c r="G21" s="143"/>
      <c r="H21" s="143"/>
      <c r="I21" s="143"/>
      <c r="J21" s="144" t="s">
        <v>154</v>
      </c>
      <c r="K21" s="145">
        <v>0.006500000000000001</v>
      </c>
      <c r="L21" s="145"/>
      <c r="M21" s="146" t="s">
        <v>155</v>
      </c>
      <c r="N21" s="147">
        <v>0.006500000000000001</v>
      </c>
      <c r="O21" s="147"/>
      <c r="P21" s="148">
        <f aca="true" t="shared" si="0" ref="P21:P23">C21</f>
        <v>0</v>
      </c>
      <c r="Q21" s="148"/>
      <c r="R21" s="148"/>
      <c r="S21" s="148"/>
      <c r="T21" s="148"/>
      <c r="U21" s="148"/>
      <c r="V21" s="149">
        <f aca="true" t="shared" si="1" ref="V21:V22">(K21+N21)/2</f>
        <v>0.006500000000000001</v>
      </c>
      <c r="W21" s="149"/>
      <c r="X21" s="140"/>
      <c r="Y21" s="140"/>
      <c r="Z21" s="140"/>
      <c r="AA21" s="140"/>
      <c r="AB21" s="140"/>
      <c r="AC21" s="140"/>
      <c r="AD21" s="140"/>
      <c r="AE21" s="140"/>
      <c r="AF21" s="140"/>
      <c r="AG21" s="140"/>
      <c r="AH21" s="140"/>
      <c r="AI21" s="140"/>
      <c r="AJ21" s="140"/>
      <c r="AK21" s="92"/>
      <c r="AN21" s="116"/>
      <c r="AP21" s="85"/>
    </row>
    <row r="22" spans="1:37" ht="24.75" customHeight="1">
      <c r="A22" s="150"/>
      <c r="B22" s="142" t="s">
        <v>172</v>
      </c>
      <c r="C22" s="143" t="s">
        <v>173</v>
      </c>
      <c r="D22" s="143"/>
      <c r="E22" s="143"/>
      <c r="F22" s="143"/>
      <c r="G22" s="143"/>
      <c r="H22" s="143"/>
      <c r="I22" s="143"/>
      <c r="J22" s="144" t="s">
        <v>154</v>
      </c>
      <c r="K22" s="145">
        <v>0.03</v>
      </c>
      <c r="L22" s="145"/>
      <c r="M22" s="146" t="s">
        <v>155</v>
      </c>
      <c r="N22" s="147">
        <v>0.03</v>
      </c>
      <c r="O22" s="147"/>
      <c r="P22" s="148">
        <f t="shared" si="0"/>
        <v>0</v>
      </c>
      <c r="Q22" s="148"/>
      <c r="R22" s="148"/>
      <c r="S22" s="148"/>
      <c r="T22" s="148"/>
      <c r="U22" s="148"/>
      <c r="V22" s="149">
        <f t="shared" si="1"/>
        <v>0.03</v>
      </c>
      <c r="W22" s="149"/>
      <c r="X22" s="151" t="s">
        <v>174</v>
      </c>
      <c r="Y22" s="151"/>
      <c r="Z22" s="151"/>
      <c r="AA22" s="151"/>
      <c r="AB22" s="151"/>
      <c r="AC22" s="151"/>
      <c r="AD22" s="151"/>
      <c r="AE22" s="151"/>
      <c r="AF22" s="151"/>
      <c r="AG22" s="151"/>
      <c r="AH22" s="151"/>
      <c r="AI22" s="151"/>
      <c r="AJ22" s="151"/>
      <c r="AK22" s="92"/>
    </row>
    <row r="23" spans="1:40" ht="24.75" customHeight="1">
      <c r="A23" s="150"/>
      <c r="B23" s="142" t="s">
        <v>175</v>
      </c>
      <c r="C23" s="143" t="s">
        <v>176</v>
      </c>
      <c r="D23" s="143"/>
      <c r="E23" s="143"/>
      <c r="F23" s="143"/>
      <c r="G23" s="143"/>
      <c r="H23" s="143"/>
      <c r="I23" s="143"/>
      <c r="J23" s="144" t="s">
        <v>154</v>
      </c>
      <c r="K23" s="145">
        <v>0.01</v>
      </c>
      <c r="L23" s="145"/>
      <c r="M23" s="146" t="s">
        <v>155</v>
      </c>
      <c r="N23" s="147">
        <v>0.05</v>
      </c>
      <c r="O23" s="147"/>
      <c r="P23" s="148">
        <f t="shared" si="0"/>
        <v>0</v>
      </c>
      <c r="Q23" s="148"/>
      <c r="R23" s="148"/>
      <c r="S23" s="148"/>
      <c r="T23" s="148"/>
      <c r="U23" s="148"/>
      <c r="V23" s="149">
        <v>0.02</v>
      </c>
      <c r="W23" s="149"/>
      <c r="X23" s="151"/>
      <c r="Y23" s="151"/>
      <c r="Z23" s="151"/>
      <c r="AA23" s="151"/>
      <c r="AB23" s="151"/>
      <c r="AC23" s="151"/>
      <c r="AD23" s="151"/>
      <c r="AE23" s="151"/>
      <c r="AF23" s="151"/>
      <c r="AG23" s="151"/>
      <c r="AH23" s="151"/>
      <c r="AI23" s="151"/>
      <c r="AJ23" s="151"/>
      <c r="AK23" s="92"/>
      <c r="AL23" s="86"/>
      <c r="AM23" s="86"/>
      <c r="AN23" s="86"/>
    </row>
    <row r="24" spans="1:40" ht="24.75" customHeight="1">
      <c r="A24" s="150"/>
      <c r="B24" s="142" t="s">
        <v>177</v>
      </c>
      <c r="C24" s="152" t="s">
        <v>178</v>
      </c>
      <c r="D24" s="152"/>
      <c r="E24" s="152"/>
      <c r="F24" s="152"/>
      <c r="G24" s="152"/>
      <c r="H24" s="152"/>
      <c r="I24" s="152"/>
      <c r="J24" s="152"/>
      <c r="K24" s="152"/>
      <c r="L24" s="152"/>
      <c r="M24" s="152"/>
      <c r="N24" s="152"/>
      <c r="O24" s="152"/>
      <c r="P24" s="152"/>
      <c r="Q24" s="152"/>
      <c r="R24" s="152"/>
      <c r="S24" s="152"/>
      <c r="T24" s="152"/>
      <c r="U24" s="152"/>
      <c r="V24" s="153">
        <v>0.045</v>
      </c>
      <c r="W24" s="153"/>
      <c r="X24" s="151"/>
      <c r="Y24" s="151"/>
      <c r="Z24" s="151"/>
      <c r="AA24" s="151"/>
      <c r="AB24" s="151"/>
      <c r="AC24" s="151"/>
      <c r="AD24" s="151"/>
      <c r="AE24" s="151"/>
      <c r="AF24" s="151"/>
      <c r="AG24" s="151"/>
      <c r="AH24" s="151"/>
      <c r="AI24" s="151"/>
      <c r="AJ24" s="151"/>
      <c r="AK24" s="92"/>
      <c r="AL24" s="86"/>
      <c r="AM24" s="86"/>
      <c r="AN24" s="86"/>
    </row>
    <row r="25" spans="1:42" ht="23.25" customHeight="1">
      <c r="A25" s="154"/>
      <c r="B25" s="155"/>
      <c r="C25" s="156"/>
      <c r="D25" s="156"/>
      <c r="E25" s="156"/>
      <c r="F25" s="157"/>
      <c r="G25" s="157"/>
      <c r="H25" s="157"/>
      <c r="I25" s="157"/>
      <c r="J25" s="157"/>
      <c r="K25" s="157"/>
      <c r="L25" s="157"/>
      <c r="M25" s="157"/>
      <c r="N25" s="157"/>
      <c r="O25" s="157"/>
      <c r="P25" s="157"/>
      <c r="Q25" s="157"/>
      <c r="R25" s="157"/>
      <c r="S25" s="158"/>
      <c r="T25" s="158"/>
      <c r="U25" s="159"/>
      <c r="V25" s="159"/>
      <c r="W25" s="159"/>
      <c r="X25" s="187"/>
      <c r="Y25" s="187"/>
      <c r="Z25" s="187"/>
      <c r="AA25" s="162"/>
      <c r="AB25" s="162"/>
      <c r="AC25" s="162"/>
      <c r="AD25" s="162"/>
      <c r="AE25" s="162"/>
      <c r="AF25" s="162"/>
      <c r="AG25" s="162"/>
      <c r="AH25" s="162"/>
      <c r="AI25" s="162"/>
      <c r="AJ25" s="162"/>
      <c r="AK25" s="92"/>
      <c r="AM25" s="116"/>
      <c r="AP25" s="85"/>
    </row>
    <row r="26" spans="1:42" ht="12.75">
      <c r="A26" s="154"/>
      <c r="B26" s="163"/>
      <c r="C26" s="156"/>
      <c r="D26" s="164"/>
      <c r="E26" s="164"/>
      <c r="F26" s="163"/>
      <c r="G26" s="163"/>
      <c r="H26" s="163"/>
      <c r="I26" s="163"/>
      <c r="J26" s="163"/>
      <c r="K26" s="163"/>
      <c r="L26" s="163"/>
      <c r="M26" s="163"/>
      <c r="N26" s="163"/>
      <c r="O26" s="163"/>
      <c r="P26" s="163"/>
      <c r="Q26" s="163"/>
      <c r="R26" s="163"/>
      <c r="S26" s="163"/>
      <c r="T26" s="163"/>
      <c r="U26" s="165"/>
      <c r="V26" s="165"/>
      <c r="W26" s="165"/>
      <c r="X26" s="166"/>
      <c r="Y26" s="166"/>
      <c r="Z26" s="166"/>
      <c r="AA26" s="167"/>
      <c r="AB26" s="167"/>
      <c r="AC26" s="167"/>
      <c r="AD26" s="167"/>
      <c r="AE26" s="168"/>
      <c r="AF26" s="168"/>
      <c r="AG26" s="168"/>
      <c r="AH26" s="168"/>
      <c r="AI26" s="168"/>
      <c r="AJ26" s="168"/>
      <c r="AK26" s="92"/>
      <c r="AM26" s="116"/>
      <c r="AP26" s="85"/>
    </row>
    <row r="27" spans="1:42" ht="12.75">
      <c r="A27" s="154"/>
      <c r="B27" s="163"/>
      <c r="C27" s="156"/>
      <c r="D27" s="156"/>
      <c r="E27" s="156"/>
      <c r="F27" s="169"/>
      <c r="G27" s="169"/>
      <c r="H27" s="169"/>
      <c r="I27" s="169"/>
      <c r="J27" s="169"/>
      <c r="K27" s="170"/>
      <c r="L27" s="171"/>
      <c r="M27" s="170"/>
      <c r="N27" s="169"/>
      <c r="O27" s="169"/>
      <c r="P27" s="169"/>
      <c r="Q27" s="169"/>
      <c r="R27" s="169"/>
      <c r="S27" s="172"/>
      <c r="T27" s="172"/>
      <c r="U27" s="173"/>
      <c r="V27" s="173"/>
      <c r="W27" s="173"/>
      <c r="X27" s="174"/>
      <c r="Y27" s="174"/>
      <c r="Z27" s="174"/>
      <c r="AA27" s="168"/>
      <c r="AB27" s="168"/>
      <c r="AC27" s="168"/>
      <c r="AD27" s="168"/>
      <c r="AE27" s="168"/>
      <c r="AF27" s="168"/>
      <c r="AG27" s="168"/>
      <c r="AH27" s="168"/>
      <c r="AI27" s="168"/>
      <c r="AJ27" s="168"/>
      <c r="AK27" s="92"/>
      <c r="AM27" s="116"/>
      <c r="AP27" s="85"/>
    </row>
    <row r="28" spans="1:42" ht="15" customHeight="1">
      <c r="A28" s="154"/>
      <c r="B28" s="163"/>
      <c r="C28" s="156"/>
      <c r="D28" s="156"/>
      <c r="E28" s="156"/>
      <c r="F28" s="169"/>
      <c r="G28" s="169"/>
      <c r="H28" s="169"/>
      <c r="I28" s="169"/>
      <c r="J28" s="169"/>
      <c r="K28" s="175" t="s">
        <v>179</v>
      </c>
      <c r="L28" s="175"/>
      <c r="M28" s="175"/>
      <c r="N28" s="175"/>
      <c r="O28" s="169"/>
      <c r="P28" s="169"/>
      <c r="Q28" s="176"/>
      <c r="R28" s="176"/>
      <c r="S28" s="176"/>
      <c r="T28" s="176"/>
      <c r="U28" s="176"/>
      <c r="V28" s="176"/>
      <c r="W28" s="173"/>
      <c r="X28" s="174"/>
      <c r="Y28" s="174"/>
      <c r="Z28" s="174"/>
      <c r="AA28" s="168"/>
      <c r="AB28" s="168"/>
      <c r="AC28" s="168"/>
      <c r="AD28" s="168"/>
      <c r="AE28" s="168"/>
      <c r="AF28" s="168"/>
      <c r="AG28" s="168"/>
      <c r="AH28" s="168"/>
      <c r="AI28" s="168"/>
      <c r="AJ28" s="168"/>
      <c r="AK28" s="92"/>
      <c r="AM28" s="116"/>
      <c r="AP28" s="85"/>
    </row>
    <row r="29" spans="1:42" ht="12.75" customHeight="1">
      <c r="A29" s="154"/>
      <c r="B29" s="163"/>
      <c r="C29" s="156"/>
      <c r="D29" s="156"/>
      <c r="E29" s="156"/>
      <c r="F29" s="169"/>
      <c r="G29" s="169"/>
      <c r="H29" s="169"/>
      <c r="I29" s="169"/>
      <c r="J29" s="169"/>
      <c r="K29" s="177" t="s">
        <v>180</v>
      </c>
      <c r="L29" s="177"/>
      <c r="M29" s="177"/>
      <c r="N29" s="177"/>
      <c r="O29" s="169"/>
      <c r="P29" s="169"/>
      <c r="Q29" s="178"/>
      <c r="R29" s="178"/>
      <c r="S29" s="178"/>
      <c r="T29" s="178"/>
      <c r="U29" s="178"/>
      <c r="V29" s="178"/>
      <c r="W29" s="173"/>
      <c r="X29" s="174"/>
      <c r="Y29" s="174"/>
      <c r="Z29" s="174"/>
      <c r="AA29" s="168"/>
      <c r="AB29" s="168"/>
      <c r="AC29" s="168"/>
      <c r="AD29" s="168"/>
      <c r="AE29" s="168"/>
      <c r="AF29" s="168"/>
      <c r="AG29" s="168"/>
      <c r="AH29" s="168"/>
      <c r="AI29" s="168"/>
      <c r="AJ29" s="168"/>
      <c r="AK29" s="92"/>
      <c r="AM29" s="116"/>
      <c r="AP29" s="85"/>
    </row>
    <row r="30" spans="1:42" ht="12.75" customHeight="1">
      <c r="A30" s="154"/>
      <c r="B30" s="163"/>
      <c r="C30" s="156"/>
      <c r="D30" s="164"/>
      <c r="E30" s="164"/>
      <c r="F30" s="179"/>
      <c r="G30" s="180"/>
      <c r="H30" s="180"/>
      <c r="I30" s="180"/>
      <c r="J30" s="180"/>
      <c r="K30" s="177" t="s">
        <v>181</v>
      </c>
      <c r="L30" s="177"/>
      <c r="M30" s="177"/>
      <c r="N30" s="177"/>
      <c r="O30" s="180"/>
      <c r="P30" s="180"/>
      <c r="Q30" s="178"/>
      <c r="R30" s="178"/>
      <c r="S30" s="178"/>
      <c r="T30" s="178"/>
      <c r="U30" s="178"/>
      <c r="V30" s="178"/>
      <c r="W30" s="165"/>
      <c r="X30" s="166"/>
      <c r="Y30" s="166"/>
      <c r="Z30" s="166"/>
      <c r="AA30" s="167"/>
      <c r="AB30" s="167"/>
      <c r="AC30" s="167"/>
      <c r="AD30" s="167"/>
      <c r="AE30" s="168"/>
      <c r="AF30" s="168"/>
      <c r="AG30" s="168"/>
      <c r="AH30" s="181"/>
      <c r="AI30" s="181"/>
      <c r="AJ30" s="181"/>
      <c r="AK30" s="92"/>
      <c r="AM30" s="116"/>
      <c r="AP30" s="85"/>
    </row>
    <row r="31" spans="1:42" ht="18" customHeight="1">
      <c r="A31" s="154"/>
      <c r="B31" s="155"/>
      <c r="C31" s="156"/>
      <c r="D31" s="182"/>
      <c r="E31" s="183"/>
      <c r="F31" s="184"/>
      <c r="G31" s="184"/>
      <c r="H31" s="184"/>
      <c r="I31" s="184"/>
      <c r="J31" s="184"/>
      <c r="K31" s="177"/>
      <c r="L31" s="177"/>
      <c r="M31" s="177"/>
      <c r="N31" s="177"/>
      <c r="O31" s="184"/>
      <c r="P31" s="184"/>
      <c r="Q31" s="184"/>
      <c r="R31" s="184"/>
      <c r="S31" s="182"/>
      <c r="T31" s="182"/>
      <c r="U31" s="165"/>
      <c r="V31" s="165"/>
      <c r="W31" s="165"/>
      <c r="X31" s="166"/>
      <c r="Y31" s="166"/>
      <c r="Z31" s="166"/>
      <c r="AA31" s="167"/>
      <c r="AB31" s="167"/>
      <c r="AC31" s="167"/>
      <c r="AD31" s="167"/>
      <c r="AE31" s="168"/>
      <c r="AF31" s="168"/>
      <c r="AG31" s="168"/>
      <c r="AH31" s="168"/>
      <c r="AI31" s="168"/>
      <c r="AJ31" s="168"/>
      <c r="AK31" s="92"/>
      <c r="AM31" s="116"/>
      <c r="AP31" s="85"/>
    </row>
    <row r="36" ht="49.5" customHeight="1"/>
    <row r="37" ht="27" customHeight="1"/>
    <row r="39" ht="21" customHeight="1"/>
    <row r="40" ht="22.5" customHeight="1"/>
    <row r="41" ht="35.25" customHeight="1"/>
    <row r="42" ht="29.25" customHeight="1"/>
    <row r="43" ht="30.75" customHeight="1"/>
    <row r="44" ht="26.25" customHeight="1"/>
    <row r="47" ht="25.5" customHeight="1"/>
    <row r="48" ht="14.25" customHeight="1"/>
    <row r="49" ht="24" customHeight="1"/>
    <row r="51" ht="14.25" customHeight="1"/>
    <row r="52" ht="20.25" customHeight="1"/>
    <row r="53" ht="13.5" customHeight="1"/>
    <row r="54" ht="23.25" customHeight="1"/>
    <row r="55" ht="37.5" customHeight="1"/>
    <row r="56" ht="26.25" customHeight="1"/>
    <row r="57" ht="30" customHeight="1"/>
    <row r="58" ht="28.5" customHeight="1"/>
    <row r="59" ht="27.75" customHeight="1"/>
    <row r="60" ht="29.25" customHeight="1"/>
    <row r="61" ht="25.5" customHeight="1"/>
    <row r="62" ht="24.75" customHeight="1"/>
    <row r="63" ht="24.75" customHeight="1"/>
    <row r="64" ht="33.75" customHeight="1"/>
    <row r="65" ht="30" customHeight="1"/>
    <row r="66" ht="16.5" customHeight="1"/>
    <row r="67" ht="31.5" customHeight="1"/>
    <row r="73" ht="33.75" customHeight="1"/>
    <row r="78" ht="33.75" customHeight="1"/>
    <row r="79" ht="33.75" customHeight="1"/>
    <row r="87" ht="30" customHeight="1"/>
    <row r="88" ht="24.75" customHeight="1"/>
    <row r="89" ht="24.75" customHeight="1"/>
    <row r="90" ht="24.75" customHeight="1"/>
    <row r="91" ht="39.75" customHeight="1"/>
    <row r="92" ht="39.75" customHeight="1"/>
    <row r="93" ht="39.75" customHeight="1"/>
    <row r="94" ht="13.5" customHeight="1"/>
    <row r="98" ht="19.5" customHeight="1"/>
    <row r="118" ht="22.5" customHeight="1"/>
  </sheetData>
  <sheetProtection selectLockedCells="1" selectUnlockedCells="1"/>
  <mergeCells count="85">
    <mergeCell ref="E2:AG3"/>
    <mergeCell ref="B5:X5"/>
    <mergeCell ref="AD5:AJ5"/>
    <mergeCell ref="B8:AC8"/>
    <mergeCell ref="AD8:AJ8"/>
    <mergeCell ref="B11:V11"/>
    <mergeCell ref="W11:AJ11"/>
    <mergeCell ref="B13:E14"/>
    <mergeCell ref="J13:O14"/>
    <mergeCell ref="P13:W14"/>
    <mergeCell ref="X13:AH14"/>
    <mergeCell ref="AI13:AJ14"/>
    <mergeCell ref="C15:I15"/>
    <mergeCell ref="K15:L15"/>
    <mergeCell ref="N15:O15"/>
    <mergeCell ref="V15:W15"/>
    <mergeCell ref="X15:AJ16"/>
    <mergeCell ref="C16:I16"/>
    <mergeCell ref="K16:L16"/>
    <mergeCell ref="N16:O16"/>
    <mergeCell ref="P16:U16"/>
    <mergeCell ref="V16:W16"/>
    <mergeCell ref="C17:I17"/>
    <mergeCell ref="K17:L17"/>
    <mergeCell ref="N17:O17"/>
    <mergeCell ref="P17:U17"/>
    <mergeCell ref="V17:W17"/>
    <mergeCell ref="X17:AJ17"/>
    <mergeCell ref="C18:I18"/>
    <mergeCell ref="K18:L18"/>
    <mergeCell ref="N18:O18"/>
    <mergeCell ref="P18:U18"/>
    <mergeCell ref="V18:W18"/>
    <mergeCell ref="X18:AJ18"/>
    <mergeCell ref="C19:I19"/>
    <mergeCell ref="K19:L19"/>
    <mergeCell ref="N19:O19"/>
    <mergeCell ref="P19:U19"/>
    <mergeCell ref="V19:W19"/>
    <mergeCell ref="X19:AJ21"/>
    <mergeCell ref="C20:I20"/>
    <mergeCell ref="K20:L20"/>
    <mergeCell ref="N20:O20"/>
    <mergeCell ref="P20:U20"/>
    <mergeCell ref="V20:W20"/>
    <mergeCell ref="C21:I21"/>
    <mergeCell ref="K21:L21"/>
    <mergeCell ref="N21:O21"/>
    <mergeCell ref="P21:U21"/>
    <mergeCell ref="V21:W21"/>
    <mergeCell ref="C22:I22"/>
    <mergeCell ref="K22:L22"/>
    <mergeCell ref="N22:O22"/>
    <mergeCell ref="P22:U22"/>
    <mergeCell ref="V22:W22"/>
    <mergeCell ref="X22:AJ24"/>
    <mergeCell ref="C23:I23"/>
    <mergeCell ref="K23:L23"/>
    <mergeCell ref="N23:O23"/>
    <mergeCell ref="P23:U23"/>
    <mergeCell ref="V23:W23"/>
    <mergeCell ref="C24:U24"/>
    <mergeCell ref="V24:W24"/>
    <mergeCell ref="D25:E25"/>
    <mergeCell ref="F25:R25"/>
    <mergeCell ref="S25:T25"/>
    <mergeCell ref="U25:W25"/>
    <mergeCell ref="X25:Z25"/>
    <mergeCell ref="AA25:AD25"/>
    <mergeCell ref="AE25:AG25"/>
    <mergeCell ref="AH25:AJ25"/>
    <mergeCell ref="AE26:AG26"/>
    <mergeCell ref="AH26:AJ26"/>
    <mergeCell ref="K28:N28"/>
    <mergeCell ref="Q28:V28"/>
    <mergeCell ref="K29:N29"/>
    <mergeCell ref="Q29:V29"/>
    <mergeCell ref="K30:N30"/>
    <mergeCell ref="Q30:V30"/>
    <mergeCell ref="AE30:AG30"/>
    <mergeCell ref="AH30:AJ30"/>
    <mergeCell ref="K31:L31"/>
    <mergeCell ref="M31:N31"/>
    <mergeCell ref="AE31:AG31"/>
    <mergeCell ref="AH31:AJ31"/>
  </mergeCells>
  <printOptions/>
  <pageMargins left="0.7875" right="0.7875" top="1.0527777777777778" bottom="1.0527777777777778" header="0.7875" footer="0.7875"/>
  <pageSetup fitToHeight="0" fitToWidth="1"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Matheus Gabe</dc:creator>
  <cp:keywords/>
  <dc:description/>
  <cp:lastModifiedBy/>
  <cp:lastPrinted>2018-10-04T19:58:17Z</cp:lastPrinted>
  <dcterms:created xsi:type="dcterms:W3CDTF">2018-08-13T14:06:57Z</dcterms:created>
  <dcterms:modified xsi:type="dcterms:W3CDTF">2018-10-04T19:59:04Z</dcterms:modified>
  <cp:category/>
  <cp:version/>
  <cp:contentType/>
  <cp:contentStatus/>
  <cp:revision>49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