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525" windowWidth="20730" windowHeight="11400" tabRatio="785" firstSheet="2" activeTab="2"/>
  </bookViews>
  <sheets>
    <sheet name="PLANILHA Fase I" sheetId="1" state="hidden" r:id="rId1"/>
    <sheet name="CRONOGRAMA Fase I" sheetId="2" state="hidden" r:id="rId2"/>
    <sheet name="Planilha orçamentária SAE" sheetId="3" r:id="rId3"/>
    <sheet name="Aux" sheetId="4" state="hidden" r:id="rId4"/>
    <sheet name="Eq" sheetId="5" state="hidden" r:id="rId5"/>
    <sheet name="Composição Fase I" sheetId="6" state="hidden" r:id="rId6"/>
  </sheets>
  <externalReferences>
    <externalReference r:id="rId9"/>
  </externalReferences>
  <definedNames>
    <definedName name="_____esc15">#REF!</definedName>
    <definedName name="_____esc4">#REF!</definedName>
    <definedName name="_____esc6">#REF!</definedName>
    <definedName name="___esc15">#REF!</definedName>
    <definedName name="___esc4">#REF!</definedName>
    <definedName name="___esc6">#REF!</definedName>
    <definedName name="_esc15">#REF!</definedName>
    <definedName name="_esc4">#REF!</definedName>
    <definedName name="_esc6">#REF!</definedName>
    <definedName name="_xlfn.IFERROR" hidden="1">#NAME?</definedName>
    <definedName name="_xlnm.Print_Area" localSheetId="5">'Composição Fase I'!$A$1:$H$39</definedName>
    <definedName name="_xlnm.Print_Area" localSheetId="1">'CRONOGRAMA Fase I'!$A$1:$P$18</definedName>
    <definedName name="_xlnm.Print_Area" localSheetId="0">'PLANILHA Fase I'!$B$1:$R$473</definedName>
    <definedName name="_xlnm.Print_Area" localSheetId="2">'Planilha orçamentária SAE'!$A$1:$M$32</definedName>
    <definedName name="Asf">#REF!</definedName>
    <definedName name="Asf_1">'[1]REDE COLETORA'!#REF!</definedName>
    <definedName name="Asf_2">'[1]REDE COLETORA'!#REF!</definedName>
    <definedName name="Cim">#REF!</definedName>
    <definedName name="Cim_1">'[1]REDE COLETORA'!#REF!</definedName>
    <definedName name="Cim_2">'[1]REDE COLETORA'!#REF!</definedName>
    <definedName name="esc15_1">'[1]REDE COLETORA'!#REF!</definedName>
    <definedName name="esc15_2">'[1]REDE COLETORA'!#REF!</definedName>
    <definedName name="esc4_1">'[1]REDE COLETORA'!#REF!</definedName>
    <definedName name="esc4_2">'[1]REDE COLETORA'!#REF!</definedName>
    <definedName name="esc6_1">'[1]REDE COLETORA'!#REF!</definedName>
    <definedName name="esc6_2">'[1]REDE COLETORA'!#REF!</definedName>
    <definedName name="FoFo">#REF!</definedName>
    <definedName name="FoFo_1">'[1]REDE COLETORA'!#REF!</definedName>
    <definedName name="FoFo_2">'[1]REDE COLETORA'!#REF!</definedName>
    <definedName name="Macro1">#REF!</definedName>
    <definedName name="MBV">#REF!</definedName>
    <definedName name="MBV_1">'[1]REDE COLETORA'!#REF!</definedName>
    <definedName name="MBV_2">'[1]REDE COLETORA'!#REF!</definedName>
    <definedName name="Par">#REF!</definedName>
    <definedName name="Par_1">'[1]REDE COLETORA'!#REF!</definedName>
    <definedName name="Par_2">'[1]REDE COLETORA'!#REF!</definedName>
    <definedName name="PVC">#REF!</definedName>
    <definedName name="PVC_1">'[1]REDE COLETORA'!#REF!</definedName>
    <definedName name="PVC_2">'[1]REDE COLETORA'!#REF!</definedName>
    <definedName name="_xlnm.Print_Titles" localSheetId="0">'PLANILHA Fase I'!$1:$5</definedName>
    <definedName name="_xlnm.Print_Titles" localSheetId="2">'Planilha orçamentária SAE'!$9:$11</definedName>
    <definedName name="VTE">#REF!</definedName>
    <definedName name="VTE_1">'[1]REDE COLETORA'!#REF!</definedName>
    <definedName name="VTE_2">'[1]REDE COLETORA'!#REF!</definedName>
  </definedNames>
  <calcPr fullCalcOnLoad="1"/>
</workbook>
</file>

<file path=xl/sharedStrings.xml><?xml version="1.0" encoding="utf-8"?>
<sst xmlns="http://schemas.openxmlformats.org/spreadsheetml/2006/main" count="2111" uniqueCount="996">
  <si>
    <t>VISTORIA</t>
  </si>
  <si>
    <t>Cadastramento geométrico das estruturas</t>
  </si>
  <si>
    <t>RELATÓRIO</t>
  </si>
  <si>
    <t>Cadastramento e descrição de anomalias do concreto</t>
  </si>
  <si>
    <t>Determinação da espessura de cobrimento do concreto e localização de armaduras com auxílio de pacômetro</t>
  </si>
  <si>
    <t>ENSAIO</t>
  </si>
  <si>
    <t>Realização de ensaio colorimétrico no concreto, com indicador químico fenolftaleína, para determinação da profundidade de carbonatação no concreto</t>
  </si>
  <si>
    <t>Ensaio de Contaminação por cloretos, com objetivo de se determinar em laboratório, em amostras extraídas da estrutura, a existência de contaminação por cloretos, que ocasionam a corrosão das armaduras</t>
  </si>
  <si>
    <t>Ensaio de Aderência à Tração (pull-off Method): Com objetivo de determinar, através de equipamento de arrancamento, a capacidade de aderência do concreto com outros sistemas, de acordo com a norma</t>
  </si>
  <si>
    <t>Ensaios para determinação do pH da massa de concreto</t>
  </si>
  <si>
    <t>Ultrassonografia e módulo de elasticidade dinâmico</t>
  </si>
  <si>
    <t>Ensaio de Resistividade elétrica</t>
  </si>
  <si>
    <t>Extração de corpo e rompimento do CP em prensa para determinação de FCK do concreto (incluso recomposição do concreto extraído com graute de retração compensada)</t>
  </si>
  <si>
    <t>Ensaio de SPT (Standard Penetration Test) para determinação das características dos solos próximos as fundações</t>
  </si>
  <si>
    <t>Laudo Técnico de anomalias encontradas na ETA 1</t>
  </si>
  <si>
    <t>LAUDO</t>
  </si>
  <si>
    <t>Laudo Técnico de anomalias encontradas na ETA 2</t>
  </si>
  <si>
    <t>Projeto executivo de Recuperação, reforço e impermeabilização da ETA 1</t>
  </si>
  <si>
    <t>PROJETO</t>
  </si>
  <si>
    <t>Projeto executivo de Recuperação, reforço e impermeabilização da ETA 2</t>
  </si>
  <si>
    <t>visita técnica ao SAE Ituiutaba para vistoria das obras, emissão de relatório dispondo de recomendações para a condução das obras</t>
  </si>
  <si>
    <t>FASE 1 - DIAGNÓSTICO</t>
  </si>
  <si>
    <t>1.7</t>
  </si>
  <si>
    <t>1.8</t>
  </si>
  <si>
    <t>1.9</t>
  </si>
  <si>
    <t>1.10</t>
  </si>
  <si>
    <t>1.11</t>
  </si>
  <si>
    <t>1.12</t>
  </si>
  <si>
    <t>FASE 2 – LAUDO TÉCNICO</t>
  </si>
  <si>
    <t>FASE 3: PROJETO EXECUTIVO</t>
  </si>
  <si>
    <t>FASE 4: VISTORIAS DURANTE A EXECUÇÃO DAS OBRAS</t>
  </si>
  <si>
    <t>QUANTIDADE</t>
  </si>
  <si>
    <t>Vistoria técnica preeliminar</t>
  </si>
  <si>
    <t>PREÇO (R$)</t>
  </si>
  <si>
    <t>UNITÁRIO</t>
  </si>
  <si>
    <t>COTAÇÕES NO MERCADO</t>
  </si>
  <si>
    <t>OBJETO</t>
  </si>
  <si>
    <t>Elaboração de Projeto de Recuperação, Reforço e Impermeabilização de estruturas de concreto para tratamento de água da SAE Ituiutaba</t>
  </si>
  <si>
    <t>CÓDIGO REFERENCIA</t>
  </si>
  <si>
    <t>COTAÇÃO</t>
  </si>
  <si>
    <t>COMPOSIÇÃO</t>
  </si>
  <si>
    <t>TABELA DO SETOP MG</t>
  </si>
  <si>
    <t>LEGENDA</t>
  </si>
  <si>
    <t>FONTES - DIGITAR O TEXTO ABAIXO</t>
  </si>
  <si>
    <t>SUPERINTENDENCIA DE ÁGUA E ESGOTOS DE ITUIUTABA MG</t>
  </si>
  <si>
    <t>SETOR DE PROJETOS E OBRAS</t>
  </si>
  <si>
    <t>Eng. Fiscal Matheus Gabe Viana Barros CREA 1015027237-D/GO</t>
  </si>
  <si>
    <t>Objeto da Contratação: Elaboração de Projeto de Recuperação, Reforço e Impermeabilização de estruturas de concreto para tratamento de água da SAE Ituiutaba</t>
  </si>
  <si>
    <t>META</t>
  </si>
  <si>
    <t>DATA</t>
  </si>
  <si>
    <t>PROCESSO LICITATÓRIO NÚMERO          /2019</t>
  </si>
  <si>
    <t>TABELA DO SINAPI</t>
  </si>
  <si>
    <t>SETOP</t>
  </si>
  <si>
    <t>composições criadas</t>
  </si>
  <si>
    <t>cotação</t>
  </si>
  <si>
    <t>peso</t>
  </si>
  <si>
    <t>Escoramento descontínuo em valas com profundidade de 1,2 a 3,0 m.</t>
  </si>
  <si>
    <t>2.8</t>
  </si>
  <si>
    <t>2.7</t>
  </si>
  <si>
    <t>3.6</t>
  </si>
  <si>
    <t>Marlon Batista da Costa</t>
  </si>
  <si>
    <t>Locação da unidade em tabeiras</t>
  </si>
  <si>
    <t>3.7</t>
  </si>
  <si>
    <t>1.1</t>
  </si>
  <si>
    <t>1.2</t>
  </si>
  <si>
    <t>1.3</t>
  </si>
  <si>
    <t>2.1</t>
  </si>
  <si>
    <t>2.2</t>
  </si>
  <si>
    <t>2.3</t>
  </si>
  <si>
    <t>3.1</t>
  </si>
  <si>
    <t>1.4</t>
  </si>
  <si>
    <t>DATA:</t>
  </si>
  <si>
    <t>m²</t>
  </si>
  <si>
    <t>m³</t>
  </si>
  <si>
    <t>ÍTEM</t>
  </si>
  <si>
    <t>UNIDADE</t>
  </si>
  <si>
    <t>CUSTO (R$)</t>
  </si>
  <si>
    <t>TOTAL</t>
  </si>
  <si>
    <t>m</t>
  </si>
  <si>
    <t>4.1</t>
  </si>
  <si>
    <t>4.2</t>
  </si>
  <si>
    <t>4.3</t>
  </si>
  <si>
    <t>4.4</t>
  </si>
  <si>
    <t>CRONOGRAMA FÍSICO-FINANCEIRO</t>
  </si>
  <si>
    <t>VALOR</t>
  </si>
  <si>
    <t>%</t>
  </si>
  <si>
    <t>DESCRIÇÃO DO SERVIÇO</t>
  </si>
  <si>
    <t>MÊS 01</t>
  </si>
  <si>
    <t>MÊS 02</t>
  </si>
  <si>
    <t>MÊS 03</t>
  </si>
  <si>
    <t>MÊS 04</t>
  </si>
  <si>
    <t>MÊS 05</t>
  </si>
  <si>
    <t>MÊS 06</t>
  </si>
  <si>
    <t>TOTAIS PARCIAIS =</t>
  </si>
  <si>
    <t>TOTAIS ACUMULADOS =</t>
  </si>
  <si>
    <t>2.4</t>
  </si>
  <si>
    <t>PROJETO:</t>
  </si>
  <si>
    <t>FASE:</t>
  </si>
  <si>
    <t>3.2</t>
  </si>
  <si>
    <t>ITEM</t>
  </si>
  <si>
    <t>DESCRIÇÃO DO ITEM</t>
  </si>
  <si>
    <t>Fonte de pesquisa dos custos unitários:</t>
  </si>
  <si>
    <t>2.5</t>
  </si>
  <si>
    <t>3.3</t>
  </si>
  <si>
    <t>3.4</t>
  </si>
  <si>
    <t>3.5</t>
  </si>
  <si>
    <t>Nivelamento e compactação de fundo de escavação</t>
  </si>
  <si>
    <t>Reaterro com compactação mecânica</t>
  </si>
  <si>
    <t>3.8</t>
  </si>
  <si>
    <t>3.9</t>
  </si>
  <si>
    <t>3.10</t>
  </si>
  <si>
    <t>un</t>
  </si>
  <si>
    <t>2.6</t>
  </si>
  <si>
    <t>4.5</t>
  </si>
  <si>
    <t>4.6</t>
  </si>
  <si>
    <t>4.7</t>
  </si>
  <si>
    <t>4.8</t>
  </si>
  <si>
    <t>4.9</t>
  </si>
  <si>
    <t>4.10</t>
  </si>
  <si>
    <t>73822/002</t>
  </si>
  <si>
    <t>73964/006</t>
  </si>
  <si>
    <t>74236/001</t>
  </si>
  <si>
    <t>73877/001</t>
  </si>
  <si>
    <t>Limpeza de terreno com raspagem da vegetação superficial em área de terraplanagem com acréscimo de 5 m em bordas laterais de pés de taludes.</t>
  </si>
  <si>
    <t>73877/002</t>
  </si>
  <si>
    <t>CREA 50744/D</t>
  </si>
  <si>
    <t>Eng. Civil / Sanitarista</t>
  </si>
  <si>
    <t>Lastro de brita corrida,10 cm</t>
  </si>
  <si>
    <t xml:space="preserve">Reaterro de valas compactado manualmente, até 1,0 m de profundidade. </t>
  </si>
  <si>
    <t>t</t>
  </si>
  <si>
    <t>Engenheiro pleno de Obras</t>
  </si>
  <si>
    <t>Mestre de obras</t>
  </si>
  <si>
    <t>Vigia</t>
  </si>
  <si>
    <t>74010/001</t>
  </si>
  <si>
    <t>h</t>
  </si>
  <si>
    <t>BDI</t>
  </si>
  <si>
    <t>UNIT. S/ BDI</t>
  </si>
  <si>
    <t>UNIT. C/ BDI</t>
  </si>
  <si>
    <t>BDI SERV.</t>
  </si>
  <si>
    <t>BDI FORN.</t>
  </si>
  <si>
    <t>kg</t>
  </si>
  <si>
    <t>ADMINISTRAÇÃO LOCAL DA OBRA</t>
  </si>
  <si>
    <t xml:space="preserve">Percentual da Obra: </t>
  </si>
  <si>
    <t>Escavação manual, em solo compacto</t>
  </si>
  <si>
    <t>74157/004</t>
  </si>
  <si>
    <t>2.9</t>
  </si>
  <si>
    <t>Data:</t>
  </si>
  <si>
    <t>Mês</t>
  </si>
  <si>
    <t>Transporte com caminhão carroceria, 9 t , DMT = 500 km.</t>
  </si>
  <si>
    <t>m³xkm</t>
  </si>
  <si>
    <t>72850</t>
  </si>
  <si>
    <t>72884</t>
  </si>
  <si>
    <t>Carga, manobra e descarga de materiais, para mobilização e desmobilização de obra.</t>
  </si>
  <si>
    <t>Caminhão Munck, para mobilização e desmobilização de obra.</t>
  </si>
  <si>
    <t>2.10</t>
  </si>
  <si>
    <t>2.11</t>
  </si>
  <si>
    <t>2.12</t>
  </si>
  <si>
    <t>2.13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</si>
  <si>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</si>
  <si>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</si>
  <si>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</si>
  <si>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</si>
  <si>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</si>
  <si>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</si>
  <si>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</si>
  <si>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</si>
  <si>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</si>
  <si>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</si>
  <si>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</si>
  <si>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4.11</t>
  </si>
  <si>
    <t>4.12</t>
  </si>
  <si>
    <t>4.13</t>
  </si>
  <si>
    <t>1.5</t>
  </si>
  <si>
    <t>1.6</t>
  </si>
  <si>
    <t xml:space="preserve">SERVIÇOS PRELIMINARES </t>
  </si>
  <si>
    <t>AMPLIAÇÃO DA CAPTAÇÃO RIO TIJUCO</t>
  </si>
  <si>
    <t>AMPLIAÇÃO DA ADUTORA DE ÁGUA BRUTA - TIJUCO AO SÃO LOURENÇO</t>
  </si>
  <si>
    <t>CAPTAÇÃO SÃO LOURENÇO</t>
  </si>
  <si>
    <t>Demolição de alvenaria estrutural de blocos de concreto</t>
  </si>
  <si>
    <t>Escavação em material de 3A categoria com explosivos</t>
  </si>
  <si>
    <t>Escoramento continuo de valas</t>
  </si>
  <si>
    <t>Transporte local com caminhão basculante, em rodovia com revestimento primário DMT até 2,50 km, de material de 1ª categoria para empréstimo, com empolamento de 30%.</t>
  </si>
  <si>
    <t>Injeção de concreto magro em fissura de rochas</t>
  </si>
  <si>
    <t>Fornecimento e instalação de de lona 200 micras, para fundo das estruturas</t>
  </si>
  <si>
    <t>73929/004</t>
  </si>
  <si>
    <t>Impermeabilização com cimento especial cristalizante, uma demão (Casa de bombas)</t>
  </si>
  <si>
    <t>Concreto fck 25 MPa, preparo mecânico com betoneira</t>
  </si>
  <si>
    <t>Lançamento manual de concreto</t>
  </si>
  <si>
    <t xml:space="preserve">Fornecimento e plantio de gramíneas </t>
  </si>
  <si>
    <t>Comporta quadrada duplo sentido de fluxo, telar, tampa, guias e luva em ferro fundido dúctil NBR 6916 classe 42012, sedes, parafusos, haste e chumbadores em aço inox 18.8, cunhas ajustáveis em bronze ASTM B 147 liga 8A, DN 700 mm</t>
  </si>
  <si>
    <t>Gradeamento em aço inoxidável 2"x1/4" espaçamento 3 cm, 612x320 cm, inclusive inserções e instalação.</t>
  </si>
  <si>
    <t>Gradeamento em aço inoxidável 2"x1/4" espaçamento 10,27 cm, 612x320 cm, inclusive inserções e instalação.</t>
  </si>
  <si>
    <t>74209/001</t>
  </si>
  <si>
    <t>Forma para concreto em tabua, inclusive desforma</t>
  </si>
  <si>
    <t>2.14</t>
  </si>
  <si>
    <t>2.15</t>
  </si>
  <si>
    <t>2.16</t>
  </si>
  <si>
    <t>2.17</t>
  </si>
  <si>
    <t>2.18</t>
  </si>
  <si>
    <t>2.19</t>
  </si>
  <si>
    <t>2.20</t>
  </si>
  <si>
    <t>2.23</t>
  </si>
  <si>
    <t>2.24</t>
  </si>
  <si>
    <t>2.25</t>
  </si>
  <si>
    <t>2.26</t>
  </si>
  <si>
    <t>2.27</t>
  </si>
  <si>
    <t>2.30</t>
  </si>
  <si>
    <t>2.31</t>
  </si>
  <si>
    <t>2.32</t>
  </si>
  <si>
    <t>2.33</t>
  </si>
  <si>
    <t>2.34</t>
  </si>
  <si>
    <t>4.14</t>
  </si>
  <si>
    <t>4.15</t>
  </si>
  <si>
    <t>4.16</t>
  </si>
  <si>
    <t>4.17</t>
  </si>
  <si>
    <t>Adaptação das grades de piso existentes, inclusive cortes e soldas, com vistas ao seu aproveitamento na estrutura projetada.</t>
  </si>
  <si>
    <t>Lixamento de pintura de paredes, com escovamento, se necessário, para a retirada de desagregação, descascamento, bolhas e fissuras, eflorescências.</t>
  </si>
  <si>
    <t>Lixamento de pintura de tetos, com escovamento, se necessário, para a retirada de desagregação, descascamento, bolhas e fissuras, eflorescências.</t>
  </si>
  <si>
    <t>Lixamento de pintura de superfícies metálicas.</t>
  </si>
  <si>
    <t>Pintura anticorrosiva a base de cromato de zinco, em superfícies metálicas.</t>
  </si>
  <si>
    <t>Preparação para pintura em paredes, com fundo selador acrílico.</t>
  </si>
  <si>
    <t>Pintura de paredes internas, acrílica, 3 demãos, sem massa corrida, cor a definir pela fiscalização.</t>
  </si>
  <si>
    <t>Pintura de paredes externas, acrílica, 3 demãos, sem massa corrida, cor a definir pela fiscalização.</t>
  </si>
  <si>
    <t>Pintura de tetos, acrílica, sobre reboco, 3 demãos, sem massa corrida, cor branca.</t>
  </si>
  <si>
    <t>Pintura esmalte sintético, 2 demãos, em estruturas de aço e ferro</t>
  </si>
  <si>
    <t>Placa de inauguração em alumínio fundido, 0,80x0,65 cm</t>
  </si>
  <si>
    <t>Guarda-corpo em aço DN 1.1/2 polegadas, com pintura esmalte</t>
  </si>
  <si>
    <t>Locação e nivelamento de adutoras, inclusive notas de serviço e levantamento de normais - obra.</t>
  </si>
  <si>
    <t xml:space="preserve">Escavação mecânica em material de 1A categoria </t>
  </si>
  <si>
    <t>2.44</t>
  </si>
  <si>
    <t>2.45</t>
  </si>
  <si>
    <t>2.46</t>
  </si>
  <si>
    <t>2.47</t>
  </si>
  <si>
    <t>2.52</t>
  </si>
  <si>
    <t>2.53</t>
  </si>
  <si>
    <t>74077/003</t>
  </si>
  <si>
    <t>Enrocamento manual com pedra de mão de 20 a 50 cm, sem arrumação</t>
  </si>
  <si>
    <t>cj</t>
  </si>
  <si>
    <t>2.54</t>
  </si>
  <si>
    <t>2.55</t>
  </si>
  <si>
    <t>Placas de obras (3,0 m x1,5 m), em chapa galvanizada com pintura esmalte, com padrão estabelecido pelo agente financiador, 04 unidades.</t>
  </si>
  <si>
    <t>Escavação mecânica em material de 1A categoria até 3,50 m de profundidade</t>
  </si>
  <si>
    <t>Escavação mecânica em material de 2A categoria de 3,50  até 4,50 m de profundidade</t>
  </si>
  <si>
    <t>2.56</t>
  </si>
  <si>
    <t>MÊS 07</t>
  </si>
  <si>
    <t>MÊS 08</t>
  </si>
  <si>
    <t>MÊS 09</t>
  </si>
  <si>
    <t>MÊS 10</t>
  </si>
  <si>
    <t>MÊS 11</t>
  </si>
  <si>
    <t>MÊS 12</t>
  </si>
  <si>
    <t>Mercado</t>
  </si>
  <si>
    <t>Estagiário</t>
  </si>
  <si>
    <t>Tecnico de Segurança</t>
  </si>
  <si>
    <t>Concreto fck 25 MPa, preparo mecânico com betoneira, caixa de manobra</t>
  </si>
  <si>
    <t>Escada em vergalhão em aço 8 mm (15 x 60) cm</t>
  </si>
  <si>
    <t>Gradil para caixa de manobra, 79 x 106 x 2,5 cm, conforme projeto</t>
  </si>
  <si>
    <t>Gradil para caixa de manobra, 160 x 106 x 2,5 cm, conforme projeto</t>
  </si>
  <si>
    <t>2.57</t>
  </si>
  <si>
    <t>2.58</t>
  </si>
  <si>
    <t>2.59</t>
  </si>
  <si>
    <t>2.60</t>
  </si>
  <si>
    <t>2.62</t>
  </si>
  <si>
    <t>2.63</t>
  </si>
  <si>
    <t>2.64</t>
  </si>
  <si>
    <t>Rastelo para limpeza em tubo de aço DN 1. 1/2" com vergalhão de aço DN3/8"</t>
  </si>
  <si>
    <t>Curva 11°15' com bolsas e junta elástica JGS - Linha Clássica DN 600</t>
  </si>
  <si>
    <t>Curva 45° com bolsas e junta elástica JGS - Linha Clássica DN 600</t>
  </si>
  <si>
    <t>Curva 45° com bolsas e junta elástica JGS - Linha Clássica DN 700</t>
  </si>
  <si>
    <t>Curva 45° com flanges - Linha Clássica DN 600</t>
  </si>
  <si>
    <t>Tubo cilíndrico para junta elástica JGS - Linha Clássica DN 600 C=4636mm</t>
  </si>
  <si>
    <t>Tubo cilíndrico para junta elástica JGS - Linha Clássica DN 600 C=5114mm</t>
  </si>
  <si>
    <t>Tubo cilíndrico para junta elástica JGS - Linha Clássica DN 600 C=3916mm</t>
  </si>
  <si>
    <t>Tubo cilíndrico para junta elástica JGS - Linha Clássica DN 600 C=5800mm</t>
  </si>
  <si>
    <t>Tubo cilíndrico para junta elástica JGS - Linha Clássica DN 600 C=2000mm</t>
  </si>
  <si>
    <t>Tubo cilíndrico para junta elástica JGS - Linha Clássica DN 700 C=4602mm</t>
  </si>
  <si>
    <t>Tubo cilíndrico para junta elástica JGS - Linha Clássica DN 700 C=6800mm</t>
  </si>
  <si>
    <t>Tubo classe K7 ponta e bolsa com junta elástica JGS - Linha Clássica DN 600 C=5226mm</t>
  </si>
  <si>
    <t>Tubo classe K7 ponta e bolsa com junta elástica JGS - Linha Clássica DN 600 C=4736mm</t>
  </si>
  <si>
    <t>Tubo classe K7 ponta e bolsa com junta elástica JGS - Linha Clássica DN 600 C=5628mm</t>
  </si>
  <si>
    <t>Tubo classe K7 ponta e bolsa com junta elástica JGS - Linha Clássica DN 600 C=3177mm</t>
  </si>
  <si>
    <t>Tubo classe K7 ponta e bolsa com junta elástica JGS - Linha Clássica DN 600 C=5402mm</t>
  </si>
  <si>
    <t>Tubo classe K7 ponta e bolsa com junta elástica JGS - Linha Clássica DN 600 C=5110mm</t>
  </si>
  <si>
    <t>Tubo classe K7 ponta e bolsa com junta elástica JGS - Linha Clássica DN 600 C=2000mm</t>
  </si>
  <si>
    <t>Tubo classe K7 ponta e bolsa com junta elástica JGS - Linha Clássica DN 600 C=5790mm</t>
  </si>
  <si>
    <t>Tubo classe K7 ponta e bolsa com junta elástica JGS - Linha Clássica DN 600 C=4010mm</t>
  </si>
  <si>
    <t>Tubo classe K7 ponta e bolsa com junta elástica JGS - Linha Clássica DN 600 C=5796mm</t>
  </si>
  <si>
    <t>Tubo classe K7 ponta e bolsa com junta elástica JGS - Linha Clássica DN 600 C=4006mm</t>
  </si>
  <si>
    <t>Tubo classe K7 ponta e bolsa com junta elástica JGS - Linha Clássica DN 600 C=5776mm</t>
  </si>
  <si>
    <t>Tubo classe K7 ponta e bolsa com junta elástica JGS - Linha Clássica DN 600 C=2490mm</t>
  </si>
  <si>
    <t>Tubo classe K7 ponta e bolsa com junta elástica JGS - Linha Clássica DN 600 C=4000mm</t>
  </si>
  <si>
    <t>Tubo classe K7 ponta e bolsa com junta elástica JGS - Linha Clássica DN 600 C=6000mm</t>
  </si>
  <si>
    <t>Tubo classe K7 ponta e bolsa com junta elástica JGS - Linha Clássica DN 700 C=2300mm</t>
  </si>
  <si>
    <t>Tubo classe K7 ponta e bolsa com junta elástica JGS - Linha Clássica DN 700 C=7000mm</t>
  </si>
  <si>
    <t>Tubo classe K7 ponta e bolsa com junta elástica JGS - Linha Clássica DN 700 C=6773mm</t>
  </si>
  <si>
    <t>Tubo com flange e ponta para junta elástica JGS - Linha Clássica DN 600 C=2210mm</t>
  </si>
  <si>
    <t>Tubo com flange e bolsa com junta elástica JGS - Linha Clássica DN 600 C=5800mm</t>
  </si>
  <si>
    <t>Tubo com flange e ponta para junta elástica JGS - Linha Clássica DN 700 C=5807mm</t>
  </si>
  <si>
    <t>Tubo com flange e ponta para junta elástica JGS - Linha Clássica DN 600 C=5800mm</t>
  </si>
  <si>
    <t>Tubo com flanges - Linha Clássica DN 600 C=4050mm</t>
  </si>
  <si>
    <t>Tê com bolsas e junta elástica JGS e flange - Linha Clássica DN 600 x 100 mm</t>
  </si>
  <si>
    <t>Válvula de gaveta c/ flanges e cunha de borracha corpo curto c/ volante Euro 23 DN 100</t>
  </si>
  <si>
    <t>Ventosa tríplice função DN 100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</si>
  <si>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</si>
  <si>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</si>
  <si>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</si>
  <si>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</si>
  <si>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</si>
  <si>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</si>
  <si>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</si>
  <si>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</si>
  <si>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</si>
  <si>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</si>
  <si>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</si>
  <si>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</si>
  <si>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</si>
  <si>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</si>
  <si>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</si>
  <si>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</si>
  <si>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</si>
  <si>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</si>
  <si>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</si>
  <si>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</si>
  <si>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</si>
  <si>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</si>
  <si>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</si>
  <si>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</si>
  <si>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</si>
  <si>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</si>
  <si>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</si>
  <si>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</si>
  <si>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</si>
  <si>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</si>
  <si>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</si>
  <si>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</si>
  <si>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</si>
  <si>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Abraçadeira chapa de aço</t>
  </si>
  <si>
    <t>2.22</t>
  </si>
  <si>
    <t>2.35</t>
  </si>
  <si>
    <t>2.36</t>
  </si>
  <si>
    <t>2.37</t>
  </si>
  <si>
    <t>2.61</t>
  </si>
  <si>
    <t>2.65</t>
  </si>
  <si>
    <t>2.66</t>
  </si>
  <si>
    <t>2.67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</si>
  <si>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</si>
  <si>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</si>
  <si>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</si>
  <si>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</si>
  <si>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</si>
  <si>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</si>
  <si>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</si>
  <si>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</si>
  <si>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</si>
  <si>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</si>
  <si>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</si>
  <si>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</si>
  <si>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</si>
  <si>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</si>
  <si>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</si>
  <si>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</si>
  <si>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</si>
  <si>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</si>
  <si>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</si>
  <si>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</si>
  <si>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</si>
  <si>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</si>
  <si>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</si>
  <si>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</si>
  <si>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</si>
  <si>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</si>
  <si>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</si>
  <si>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</si>
  <si>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</si>
  <si>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Eletricista</t>
  </si>
  <si>
    <t>Sinapi</t>
  </si>
  <si>
    <t>Ajudante de Eletricista</t>
  </si>
  <si>
    <t>Transformador 30 kVA a seco</t>
  </si>
  <si>
    <t xml:space="preserve">Quadro Comando das bombas Média Tensão 3F 60Hz 4,16KV </t>
  </si>
  <si>
    <t>Acessórios p/ eletrodutos - Arruela zamak 3/4"</t>
  </si>
  <si>
    <t>Acessórios p/ eletrodutos - Bucha zamak 3/4"</t>
  </si>
  <si>
    <t>Acessórios p/ eletrodutos - Bucha zamak 1"</t>
  </si>
  <si>
    <t>Acessórios p/ eletrodutos - Caixa PVC 4x2"</t>
  </si>
  <si>
    <t>Acessórios p/ eletrodutos Condulete alum. encaixe tipo C 1" sem tampa</t>
  </si>
  <si>
    <t>Acessórios p/ eletrodutos - Curva 135º PVC rosca 1"</t>
  </si>
  <si>
    <t>Acessórios p/ eletrodutos - Luva aço galvan. leve 1"</t>
  </si>
  <si>
    <t>Acessórios p/ eletrodutos - Luva aço galvan. Pesado 1"</t>
  </si>
  <si>
    <t>Acessórios p/ eletrodutos - Luva aço galvan. leve 1.1/2"</t>
  </si>
  <si>
    <t>Acessórios p/ eletrodutos - Luva aço galvan. Pesado 1.1/2"</t>
  </si>
  <si>
    <t>Acessórios uso geral - Bucha de nylon S4</t>
  </si>
  <si>
    <t>Acessórios uso geral - Bucha de nylon S6</t>
  </si>
  <si>
    <t>Acessórios uso geral - Parafuso fenda galvan. cab. Panela 2,9x25mm autoatarrachante</t>
  </si>
  <si>
    <t>Acessórios uso geral - Parafuso fenda galvan. cab. Panela 4,2x32mm autoatarrachante</t>
  </si>
  <si>
    <t>Cabo Unipolar (cobre) - Isol.HEPR - ench.EVA - 0,6/1kV (ref. Pirelli Afumex) 1.5 mm²</t>
  </si>
  <si>
    <t>Cabo Unipolar (cobre) - Isol.HEPR - ench.EVA - 0,6/1kV (ref. Pirelli Afumex) 10 mm²</t>
  </si>
  <si>
    <t>Cabo Unipolar (cobre) - Isol.HEPR - ench.EVA - 0,6/1kV (ref. Pirelli Afumex)2.5 mm²</t>
  </si>
  <si>
    <t xml:space="preserve"> Dispositivo Elétrico - embutido -Placa  2x4" p/ 1 função (ref. Pial)</t>
  </si>
  <si>
    <t>Dispositivo Elétrico - sobrepor - S/ placa - interruptor 3 teclas simples (ref. Pial)</t>
  </si>
  <si>
    <t>Dispositivo Elétrico - sobrepor - S/ placa - Tampa alum. p/ condulete 1" 3 funções retangulares (ref. Pial)</t>
  </si>
  <si>
    <t>Dispositivo de Proteção - Disjuntor Tripolar Termomagnético - norma DIN 40A</t>
  </si>
  <si>
    <t>Dispositivo de Proteção - Disjuntor bipolar Termomagnético DIN 16A</t>
  </si>
  <si>
    <t>Dispositivo de proteção contra surto - 275 V - 40KA</t>
  </si>
  <si>
    <t>Dispositivo de Proteção - Interruptor bipolar DR (fase/fase - In 30mA) DIN 40A</t>
  </si>
  <si>
    <t>Eletroduto PVC flexível - Eletroduto leve 1" (ref. Trigre)</t>
  </si>
  <si>
    <t>Eletroduto metálico rígido leve - Braçadeira galvan. tipo cunha 1"</t>
  </si>
  <si>
    <t>Eletroduto metálico rígido leve - Braçadeira galvan. tipo cunha 3/4"</t>
  </si>
  <si>
    <t>Eletroduto galvanizado, vara 3,0m 1" (ref. Trigre)</t>
  </si>
  <si>
    <t>Eletroduto galvanizado, vara 3,0m 3/4" (ref. Trigre)</t>
  </si>
  <si>
    <t>Eletroduto metálico rígido pesado - Braçadeira galvan. tipo cunha 1"</t>
  </si>
  <si>
    <t>Eletroduto metálico rígido pesado - Braçadeira galvan. tipo cunha 1.1/2"</t>
  </si>
  <si>
    <t>Eletroduto metálico rígido pesado - Braçadeira galvan. tipo cunha 1.1/4"</t>
  </si>
  <si>
    <t>Eletroduto metálico rígido pesado - Eletroduto galvanizado 1" (ref. Trigre)</t>
  </si>
  <si>
    <t>Elétrica - Luminária e acessórios -  Luminária para poste p/ Multivapor metálico 150W</t>
  </si>
  <si>
    <t>Elétrica - Luminária e acessórios -  Luminária para poste p/ Multivapor metálico 100W</t>
  </si>
  <si>
    <t>Elétrica - Lâmpada Multivapor metálico 150W</t>
  </si>
  <si>
    <t>Elétrica - Lâmpada Multivapor metálico 100W</t>
  </si>
  <si>
    <t>Quadro distrib. chapa pintada - embutir - Barr. trif., disj geral, compacto - DIN (Ref. Moratori) - Cap. 18 disj. unip. - In barr. 100 A</t>
  </si>
  <si>
    <t>Chave de Nível tipo Bóia pêra</t>
  </si>
  <si>
    <t>Sistema de Transmissão via Rádio</t>
  </si>
  <si>
    <t>Inspeção de SPDA</t>
  </si>
  <si>
    <t>Reforma da rede de distribuição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</si>
  <si>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</si>
  <si>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</si>
  <si>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</si>
  <si>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</si>
  <si>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</si>
  <si>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</si>
  <si>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</si>
  <si>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</si>
  <si>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</si>
  <si>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</si>
  <si>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</si>
  <si>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</si>
  <si>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</si>
  <si>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</si>
  <si>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</si>
  <si>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</si>
  <si>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</si>
  <si>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</si>
  <si>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</si>
  <si>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</si>
  <si>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</si>
  <si>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</si>
  <si>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</si>
  <si>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</si>
  <si>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</si>
  <si>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</si>
  <si>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</si>
  <si>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</si>
  <si>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</si>
  <si>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</si>
  <si>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</si>
  <si>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</si>
  <si>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</si>
  <si>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</si>
  <si>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</si>
  <si>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</si>
  <si>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</si>
  <si>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</si>
  <si>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</si>
  <si>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</si>
  <si>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</si>
  <si>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Assentamento de conexões e acessórios</t>
  </si>
  <si>
    <t>Assentamento de tubos</t>
  </si>
  <si>
    <t>73887/003</t>
  </si>
  <si>
    <t>73887/011</t>
  </si>
  <si>
    <t>73887/012</t>
  </si>
  <si>
    <t>73887/010</t>
  </si>
  <si>
    <t>73887/009</t>
  </si>
  <si>
    <t>73887/008</t>
  </si>
  <si>
    <t>Tubulação ferro fundido flange-flange - PN 16 DN 400 C=5600mm</t>
  </si>
  <si>
    <t>Curva 90° com flanges - Linha Clássica DN 800 PN 16 - 563 kg</t>
  </si>
  <si>
    <t>73884/010</t>
  </si>
  <si>
    <t>Instalação de válvula flangeada DN 400</t>
  </si>
  <si>
    <t>Instalação de válvula flangeada DN 450</t>
  </si>
  <si>
    <t>SINAPI, Mercado</t>
  </si>
  <si>
    <t>REFERÊNCIA: FEV/2017</t>
  </si>
  <si>
    <t>5.1</t>
  </si>
  <si>
    <t>5.2</t>
  </si>
  <si>
    <t>5.3</t>
  </si>
  <si>
    <t>5.4</t>
  </si>
  <si>
    <t>5.5</t>
  </si>
  <si>
    <t>kg/m</t>
  </si>
  <si>
    <t>Barras/m</t>
  </si>
  <si>
    <t>kg/m²</t>
  </si>
  <si>
    <t>Área m²</t>
  </si>
  <si>
    <t>Peso kg</t>
  </si>
  <si>
    <t>Peso +10%</t>
  </si>
  <si>
    <t>R$/kg</t>
  </si>
  <si>
    <t>Mat</t>
  </si>
  <si>
    <t>00012760 (+20% de mão de obra)</t>
  </si>
  <si>
    <t>Gradeamento em aço inoxidável 2"x1/4" espaçamento 3 cm, 612x320 cm, inclusive inserções e instalação (peso 1.820 kg).</t>
  </si>
  <si>
    <t>MO</t>
  </si>
  <si>
    <t>Total</t>
  </si>
  <si>
    <t>Soma</t>
  </si>
  <si>
    <t>R$</t>
  </si>
  <si>
    <t>Gradeamento em aço inoxidável 2"x1/4" espaçamento 10,27 cm, 612x320 cm, inclusive inserções e instalação (peso 530 kg).</t>
  </si>
  <si>
    <t>Curva 90º com flanges - C90FF16 400</t>
  </si>
  <si>
    <t>R$/pç</t>
  </si>
  <si>
    <t>Curva 90º com flanges - C90FF10 700</t>
  </si>
  <si>
    <t>Curva 90º com flanges - C90FF10 350</t>
  </si>
  <si>
    <t>Curva 45º com flanges - C45FF16 600</t>
  </si>
  <si>
    <t>Curva 45º com flanges - C45FF10 400</t>
  </si>
  <si>
    <t>Curva 45º com flanges - C45FF10 600</t>
  </si>
  <si>
    <t>Forma para concreto em tábua, inclusive desforma</t>
  </si>
  <si>
    <t>Limpeza de terreno com raspagem da vegetação superficial em área de terraplanagem com acréscimo de 5 m em bordas laterais de pés de taludes</t>
  </si>
  <si>
    <t>Carga e descarga mecânica, utilizando caminhão basculante e pá carregadeira, de material da raspação superficial e escavado, com empolamento de 30%</t>
  </si>
  <si>
    <t>Transporte local com caminhão basculante, em rodovia com revestimento primário. DMT até 10 km, de material da raspação superficial e escavado, com empolamento de 30%</t>
  </si>
  <si>
    <t>Carga e descarga mecânica, utilizando caminhão basculante e pá carregadeira, de material de 1ª categoria para empréstimo, com empolamento de 30%</t>
  </si>
  <si>
    <t>5.6</t>
  </si>
  <si>
    <t>2.110</t>
  </si>
  <si>
    <t>2.111</t>
  </si>
  <si>
    <t>2.112</t>
  </si>
  <si>
    <t>2.113</t>
  </si>
  <si>
    <t>2.114</t>
  </si>
  <si>
    <t>2.115</t>
  </si>
  <si>
    <t>2.116</t>
  </si>
  <si>
    <t>2.117</t>
  </si>
  <si>
    <t>2.118</t>
  </si>
  <si>
    <t>2.119</t>
  </si>
  <si>
    <t>2.120</t>
  </si>
  <si>
    <t>2.121</t>
  </si>
  <si>
    <t>2.122</t>
  </si>
  <si>
    <t>2.123</t>
  </si>
  <si>
    <t>2.124</t>
  </si>
  <si>
    <t>2.125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</si>
  <si>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</si>
  <si>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</si>
  <si>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</si>
  <si>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</si>
  <si>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</si>
  <si>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</si>
  <si>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</si>
  <si>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</si>
  <si>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</si>
  <si>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</si>
  <si>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</si>
  <si>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</si>
  <si>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</si>
  <si>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</si>
  <si>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</si>
  <si>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</si>
  <si>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</si>
  <si>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</si>
  <si>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</si>
  <si>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</si>
  <si>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</si>
  <si>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</si>
  <si>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</si>
  <si>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</si>
  <si>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</si>
  <si>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PLANILHA ORÇAMENTÁRIA</t>
  </si>
  <si>
    <t>SAE ITUIUTABA/MG - AMPLIAÇÃO DE CAPTAÇÃO DO RIO TIJUCO E ADUÇÃO DE ÁGUA BRUTA</t>
  </si>
  <si>
    <t>Pipe-Rack em estrutura metálica em cantoneiras e chapas ASTM A-36, ASTM A-572 Gr 50, fabricação</t>
  </si>
  <si>
    <t>73970/002</t>
  </si>
  <si>
    <t>Pipe-Rack em estrutura metálica, instalação, inclusive içamento</t>
  </si>
  <si>
    <t>92258 (considerando 2 faces, 2 vãos)</t>
  </si>
  <si>
    <t>Pipe-Rack - jateamento com areia em estrutura metálica (área fornecida pelo software)</t>
  </si>
  <si>
    <t>74064/001</t>
  </si>
  <si>
    <t>Pipe-Rack - pintura base anticorrosiva, zarcão, duas demãos</t>
  </si>
  <si>
    <t>73924/002</t>
  </si>
  <si>
    <t>Pipe-Rack - Escavação mecânica em material de 3A categoria até 1,30 m de profundidade</t>
  </si>
  <si>
    <t>Pipe-Rack - Concreto fck 20 MPa, preparo mecânico com betoneira</t>
  </si>
  <si>
    <t>Pipe-Rack - Lançamento manual de concreto</t>
  </si>
  <si>
    <t>Pipe-Rack - Forma para concreto em tábua, inclusive desforma</t>
  </si>
  <si>
    <t xml:space="preserve">Pipe-Rack - Armação  Aço CA-60, 5.0 mm,  fornecimento/corte/dobra/colocação </t>
  </si>
  <si>
    <t xml:space="preserve">Pipe-Rack - Armação  Aço CA-50, 10.0 mm,  fornecimento/corte/dobra/colocação </t>
  </si>
  <si>
    <t xml:space="preserve">Pipe-Rack - Armação  Aço CA-50, 12.5 mm,  fornecimento/corte/dobra/colocação </t>
  </si>
  <si>
    <t>Tubulação ferro fundido flange-flange - PN 16 DN 500 C=1330mm</t>
  </si>
  <si>
    <t>Tubulação ferro fundido flange-flange - PN 16 DN 500 C=5800mm</t>
  </si>
  <si>
    <t>Tubulação ferro fundido flange-flange - PN 16 DN 500 C=1800mm</t>
  </si>
  <si>
    <t>Tubulação ferro fundido flange-flange - PN 16 DN 700 C=2590mm</t>
  </si>
  <si>
    <t>Tubulação ferro fundido flange-flange - PN 16 DN 700 C=2390mm</t>
  </si>
  <si>
    <t>Tubulação ferro fundido flange-flange - PN 16 DN 700 C=2220mm</t>
  </si>
  <si>
    <t>Tubulação ferro fundido flange-flange - PN 16 DN 700 C=250mm</t>
  </si>
  <si>
    <t>Tubulação ferro fundido flange-flange - PN 16 DN 500 C=1010mm</t>
  </si>
  <si>
    <t>Toco ferro fundido com flanges - PN 16  DN 450 C=550mm</t>
  </si>
  <si>
    <t>Tubulação ferro fundido flange-flange - PN 16 DN 400 C=870mm</t>
  </si>
  <si>
    <t>Tubulação ferro fundido flange-flange - PN 16 DN 400 C=800mm</t>
  </si>
  <si>
    <t>Toco ferro fundido flange-flange - PN 16 DN 700</t>
  </si>
  <si>
    <t>Curva 45° flangeada ferro fundido - PN 16 DN 500</t>
  </si>
  <si>
    <t>Tê ferro fundido flangeado - PN 16 DN 500 x 400</t>
  </si>
  <si>
    <t>Tê ferro fundido flangeado - PN 16 DN 700 x 400</t>
  </si>
  <si>
    <t>Tê ferro fundido flangeado - PN 16 DN 500</t>
  </si>
  <si>
    <t>Redução com flanges ferro fundido - PN 16 DN 500 x 450</t>
  </si>
  <si>
    <t>Tê com flanges ferro fundido - PN 16 DN 700 x 600</t>
  </si>
  <si>
    <t>Flange cego ferro fundido - PN 16 DN 500</t>
  </si>
  <si>
    <t>Flange cego ferro fundido - PN 16 DN 700</t>
  </si>
  <si>
    <t>Tê flangeado ferro fundido  - PN 16 DN 700</t>
  </si>
  <si>
    <t>Redução ferro fundido com flanges - PN 16 DN 600 x 450</t>
  </si>
  <si>
    <t>Válvula guilhotina com comando eletromecânico tipo "on-off"- PN 16 DN 400</t>
  </si>
  <si>
    <t>Válvula guilhotina com comando eletromecânico tipo "on-off"- PN 16 DN 450</t>
  </si>
  <si>
    <t>Tubo com flanges - Linha Clássica DN 150  PN 10 C=530mm - 29,78 kg</t>
  </si>
  <si>
    <t>Dispositivo Elétrico - embutido -Placa  2x4" p/ 1 função (ref. Pial)</t>
  </si>
  <si>
    <t>Barracão de obras em chapa de madeira, cobertura em fibrocimento, com as seguintes áreas mínimas: escritório fisclaização 17 m², escritório contratada 17 m², vestiário 25 m², depósito e ferramentaria 20 m², Instalações sanitárias 10 m².</t>
  </si>
  <si>
    <t>93207+93207+93212+93208+93212</t>
  </si>
  <si>
    <t>Rebaixamento de nível de água, profundidade mínima de 150 cm abaixo da cota mínima da estrutura, inclusive bombas, ponteiras, mangotes, etc.</t>
  </si>
  <si>
    <t>PROJETO EXECUTIVO</t>
  </si>
  <si>
    <t>Poço de visita para águas pluviais 1,10x1,10x1,40cm, para DN60cm, parede 15 cm, concreto 10 MPa, revestido com argamassa 1:4, inclusive todos os materiais.</t>
  </si>
  <si>
    <t>74124/002</t>
  </si>
  <si>
    <t xml:space="preserve">Tubulação de concreto PA1 DN 600, para águas pluviais, fornecimento e assentamento. </t>
  </si>
  <si>
    <t>D</t>
  </si>
  <si>
    <t>d</t>
  </si>
  <si>
    <t>e</t>
  </si>
  <si>
    <t>VE</t>
  </si>
  <si>
    <t>VI</t>
  </si>
  <si>
    <t>(D-2e)</t>
  </si>
  <si>
    <t>(d-2e)</t>
  </si>
  <si>
    <t>Re</t>
  </si>
  <si>
    <t>re</t>
  </si>
  <si>
    <t>Ri</t>
  </si>
  <si>
    <t>ri</t>
  </si>
  <si>
    <t>V</t>
  </si>
  <si>
    <t>dens</t>
  </si>
  <si>
    <t>Peso</t>
  </si>
  <si>
    <t>TUBO</t>
  </si>
  <si>
    <t>FLANGES</t>
  </si>
  <si>
    <t>L 1.1/2x1/4</t>
  </si>
  <si>
    <t>L 2.1/2x1/4</t>
  </si>
  <si>
    <t>T 1.1/2x3/16</t>
  </si>
  <si>
    <t>Tela Inox 1/8*10mm</t>
  </si>
  <si>
    <t>m ou m²</t>
  </si>
  <si>
    <t>k/m ou m²</t>
  </si>
  <si>
    <t>Tela em inox malha quadrada, com 10 fios de 1/8" por decímetro, 706x204 cm, inclusive cantoneiras e chumbadores (+/-392 kg - Ver projeto)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</si>
  <si>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</si>
  <si>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</si>
  <si>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</si>
  <si>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</si>
  <si>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</si>
  <si>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</si>
  <si>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</si>
  <si>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</si>
  <si>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</si>
  <si>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</si>
  <si>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</si>
  <si>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</si>
  <si>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</si>
  <si>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</si>
  <si>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</si>
  <si>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</si>
  <si>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</si>
  <si>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</si>
  <si>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</si>
  <si>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</si>
  <si>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</si>
  <si>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</si>
  <si>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</si>
  <si>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</si>
  <si>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</si>
  <si>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</si>
  <si>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</si>
  <si>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</si>
  <si>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</si>
  <si>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</si>
  <si>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</si>
  <si>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</si>
  <si>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</si>
  <si>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</si>
  <si>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</si>
  <si>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</si>
  <si>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</si>
  <si>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</si>
  <si>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</si>
  <si>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</si>
  <si>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</si>
  <si>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</si>
  <si>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</si>
  <si>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</si>
  <si>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</si>
  <si>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</si>
  <si>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</si>
  <si>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</si>
  <si>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</si>
  <si>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</si>
  <si>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</si>
  <si>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</si>
  <si>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</si>
  <si>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</si>
  <si>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</si>
  <si>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QUANT.</t>
  </si>
  <si>
    <t>A1</t>
  </si>
  <si>
    <t>PROJ-EXE-435</t>
  </si>
  <si>
    <t>Projetos complementares e "As Built" em formato A1</t>
  </si>
  <si>
    <t>4.85</t>
  </si>
  <si>
    <t>3.107</t>
  </si>
  <si>
    <t>546+11963</t>
  </si>
  <si>
    <t xml:space="preserve">TOTAL com BDI = </t>
  </si>
  <si>
    <t>Disjuntor à vácuo, 15 kV - 350 MVA 630 A - Motorizado, com relé e com seu comando remoto</t>
  </si>
  <si>
    <t>2.126</t>
  </si>
  <si>
    <t>2.127</t>
  </si>
  <si>
    <t>Curva 90° com flanges - Linha Clássica DN 150 PN 25</t>
  </si>
  <si>
    <t>Redução com flanges concêntrica - Linha Clássica DN 600/400 PN 25</t>
  </si>
  <si>
    <t>Redução com flanges concêntrica - Linha Clássica DN 400/250 PN 25</t>
  </si>
  <si>
    <t>Toco com flanges e abas de vedação - Linha Clássica DN 600 PN 25</t>
  </si>
  <si>
    <t>Tubo com flanges - Linha Clássica DN 600  PN 25 C=2071mm</t>
  </si>
  <si>
    <t>Tubo com flanges - Linha Clássica DN 600  PN 25 C=794mm</t>
  </si>
  <si>
    <t>Tubo com flanges - Linha Clássica DN 600  PN 25 C=350mm</t>
  </si>
  <si>
    <t>Tubo com flanges - Linha Clássica DN 600  PN 25 C=240mm</t>
  </si>
  <si>
    <t>Tubo com flanges - Linha Clássica DN 600  PN 25 C=335mm</t>
  </si>
  <si>
    <t>Tê com flanges - Linha Clássica DN 600 PN 25</t>
  </si>
  <si>
    <t>Válvula de gaveta c/ flanges e cunha de borracha corpo curto c/ volante Euro 23 DN 400 PN25</t>
  </si>
  <si>
    <t>Registro Oval c/ flanges e cunha metálica, com volante, s/ by pass e s/ redutor DN 600 PN 25</t>
  </si>
  <si>
    <t>Válvula de gaveta c/ flanges e cunha de borracha corpo curto c/ volante Euro 23 DN 150</t>
  </si>
  <si>
    <t>Válvula de retenção DN600 PN 25</t>
  </si>
  <si>
    <t>Curva 90° com flanges - Linha Clássica DN 400 PN 25</t>
  </si>
  <si>
    <t>Curva 90° com flanges - Linha Clássica DN 600 PN 25</t>
  </si>
  <si>
    <t>Curva 90° com flanges - Linha Clássica DN 100 PN 16</t>
  </si>
  <si>
    <t>Curva 90° com flanges - Linha Clássica DN 80 PN 16</t>
  </si>
  <si>
    <t>Carretel com tirantes - D 80 PN 10</t>
  </si>
  <si>
    <t>Carretel com tirantes - D 100 PN 10</t>
  </si>
  <si>
    <t>Junção com flanges DN 600 PN 25</t>
  </si>
  <si>
    <t>Redução concêntrica com flanges DN 600x400 PN 25</t>
  </si>
  <si>
    <t>Redução concêntrica com flanges DN 700 x 600 PN 25</t>
  </si>
  <si>
    <t>Extremidade flangee bolsa com junta elástica JGS DN 400 PN 16</t>
  </si>
  <si>
    <t>Extremidade flangee bolsa com junta elástica JGS DN 700 PN25</t>
  </si>
  <si>
    <t>Extremidade flange e ponta para junta elástica JGS  e JTI - Linha Clássica DN 700 PN25</t>
  </si>
  <si>
    <t>Extremidade flange e ponta com aba de vedação DN 400 PN25</t>
  </si>
  <si>
    <t>Extremidade flange e ponta com aba de vedação DN600 PN25</t>
  </si>
  <si>
    <t>Toco com flanges e abas de vedação - Linha Clássica - DN 300 PN16</t>
  </si>
  <si>
    <t>Toco com flanges e abas de vedação - Linha Clássica - DN 400 PN16</t>
  </si>
  <si>
    <t>Tubo cilíndrico para junta elástica JGS - Linha Clássica DN 400 C=1430mm</t>
  </si>
  <si>
    <t>Tubo cilíndrico para junta elástica JGS - Linha Clássica DN 700 C=2168mm</t>
  </si>
  <si>
    <t>Tubo cilíndrico para junta elástica JGS - Linha Clássica DN 700 C=4580mm</t>
  </si>
  <si>
    <t>Tubo cilíndrico para junta elástica JGS - Linha Clássica DN 700 C=1076mm</t>
  </si>
  <si>
    <t>Tubo cilíndrico para junta elástica JGS - Linha Clássica DN 700 C=6656mm</t>
  </si>
  <si>
    <t>Tubo classe K7 ponta e bolsa com junta elástica JGS - Linha Clássica DN 600 C=4262mm</t>
  </si>
  <si>
    <t>Tubo classe K7 ponta e bolsa com junta elástica JGS - Linha Clássica DN 700 C=4339mm</t>
  </si>
  <si>
    <t>Tubo com flange e ponta para junta elástica JGS - Linha Clássica DN 300 PN 16 C=605mm</t>
  </si>
  <si>
    <t>Tubo com flange e ponta para junta elástica JGS - Linha Clássica DN 400 PN 16 C=505mm</t>
  </si>
  <si>
    <t>Tubo com flange e ponta para junta elástica JGS - Linha Clássica DN 100 PN 16 C=267mm</t>
  </si>
  <si>
    <t>Tubo com flange e ponta para junta elástica JGS - Linha Clássica DN 80 PN 16 C=365mm</t>
  </si>
  <si>
    <t>Tubo com flange e ponta para junta elástica JGS - Linha Clássica DN 300 PN 16 C=362mm</t>
  </si>
  <si>
    <t>Tubo com flange e ponta para junta elástica JGS - Linha Clássica DN 400 PN 16 C=222mm</t>
  </si>
  <si>
    <t>Tubo com flange e ponta para junta elástica JGS - Linha Clássica DN 400 C=770mm</t>
  </si>
  <si>
    <t>Tubo com flange e ponta para junta elástica JGS - Linha Clássica DN 600 C=5600mm</t>
  </si>
  <si>
    <t>Tubo com flange e ponta para junta elástica JGS - Linha Clássica DN 700 C=798mm</t>
  </si>
  <si>
    <t>Tubo com flanges - Linha Clássica DN 400 C=830mm</t>
  </si>
  <si>
    <t>Tubo com flanges - Linha Clássica DN 600 C=600mm PN16</t>
  </si>
  <si>
    <t>Tubo com flanges - Linha Clássica DN 600 C=930mm PN25</t>
  </si>
  <si>
    <t>Tê com flanges - Linha Clássica - DN400 / 100 PN16</t>
  </si>
  <si>
    <t>Tê com flanges - linha Clássica - DN300 / 80 PN16</t>
  </si>
  <si>
    <t>Tê com bolsas e junta elástica JGS - Linha Clássica DN 600 x 400 mm</t>
  </si>
  <si>
    <t>Tê com bolsas e junta elástica JGS e flange - Linha Clássica DN 700 x 600 mm PN25</t>
  </si>
  <si>
    <t>Tê com bolsas e junta elástica JGS e flange - Linha Clássica DN 700 mm PN25</t>
  </si>
  <si>
    <t>Válvula de gaveta c/ flanges e cunha de borracha corpo curto c/ volante Euro 23 DN 400 PN16</t>
  </si>
  <si>
    <t>Válvula de gaveta c/ flanges e cunha de borracha corpo curto c/ volante Euro 23 DN 100 PN16</t>
  </si>
  <si>
    <t>Válvula de gaveta c/ flanges e cunha de borracha corpo curto c/ volante Euro 23 DN 300 PN16</t>
  </si>
  <si>
    <t>Válvula de gaveta com Haste Ascendente Euro 23 DN 80 PN16</t>
  </si>
  <si>
    <t>Válvula de Altitude DN 80 PN16</t>
  </si>
  <si>
    <t>3.108</t>
  </si>
  <si>
    <t>Válvula de Altitude DN 100 PN16</t>
  </si>
  <si>
    <t>3.109</t>
  </si>
  <si>
    <t>3.110</t>
  </si>
  <si>
    <t>Válvula de Retenção - Tipo Clasar - DN 300 PN16</t>
  </si>
  <si>
    <t>3.111</t>
  </si>
  <si>
    <t>3.112</t>
  </si>
  <si>
    <t>Válvula de Retenção - Tipo Clasar - DN 400 PN16</t>
  </si>
  <si>
    <t>3.113</t>
  </si>
  <si>
    <t>3.114</t>
  </si>
  <si>
    <t>Válvula Hidráulica Sustentadora de Pressão DN 600 PN25</t>
  </si>
  <si>
    <t>3.115</t>
  </si>
  <si>
    <t>3.116</t>
  </si>
  <si>
    <t>Tubulação ferro fundido flange-flange - PN 16 DN 700 C=820mm</t>
  </si>
  <si>
    <t>Redução com flanges ferro fundido - PN 16 DN 600 x 700 mm</t>
  </si>
  <si>
    <t>Válvula hidráulica de controle de vazão DN600 PN25</t>
  </si>
  <si>
    <t>Instalação de válvula flangeada DN 600</t>
  </si>
  <si>
    <t>73887/006</t>
  </si>
  <si>
    <t>73887/002</t>
  </si>
  <si>
    <t>73887/001</t>
  </si>
  <si>
    <t>Concreto fck 20 MPa, preparo mecânico com betoneira</t>
  </si>
  <si>
    <t>Corte e dobra de acço CA-50, diâmetro de 6.3 mm, utilizado em estruturas diversas, exceto lajes.</t>
  </si>
  <si>
    <t>Corte e dobra de acço CA-50, diâmetro de 8.0 mm, utilizado em estruturas diversas, exceto lajes.</t>
  </si>
  <si>
    <t>Corte e dobra de acço CA-50, diâmetro de 10.0 mm, utilizado em estruturas diversas, exceto lajes.</t>
  </si>
  <si>
    <t>Corte e dobra de acço CA-50, diâmetro de 12.5 mm, utilizado em estruturas diversas, exceto lajes.</t>
  </si>
  <si>
    <t>Corte e dobra de acço CA-60, diâmetro de 5.0 mm, utilizado em estruturas diversas, exceto lajes.</t>
  </si>
  <si>
    <t>Corte e dobra de acço CA-60, diâmetro de 5.0 mm, utilizado em lajes.</t>
  </si>
  <si>
    <t>Corte e dobra de acço CA-50, diâmetro de 6.3 mm, utilizado em lajes.</t>
  </si>
  <si>
    <t>Corte e dobra de acço CA-50, diâmetro de 8.0 mm, utilizado em lajes.</t>
  </si>
  <si>
    <t>Corte e dobra de acço CA-50, diâmetro de 12.5 mm, utilizado em lajes.</t>
  </si>
  <si>
    <t>Corte e dobra de acço CA-50, diâmetro de 10.0 mm, utilizado em lajes.</t>
  </si>
  <si>
    <t>Reaterro de valas compactado manualmente</t>
  </si>
  <si>
    <t>z</t>
  </si>
  <si>
    <t>Demolição de concreto simples</t>
  </si>
  <si>
    <t>Piso de concreto, com concreto moldado "in loco", feito em obra, acabamento convencional, espessura 8cm</t>
  </si>
  <si>
    <t>Reaterro de valas compactado manualmente.</t>
  </si>
  <si>
    <t>Preparo de fundo de valas com regularização, acerto e nivelamento.</t>
  </si>
  <si>
    <t>Curva 90° com flanges - Linha Clássica DN 600 PN 25 - 348 kg</t>
  </si>
  <si>
    <t>Corte e dobra de acço CA-50, diâmetro de 16.0 mm, utilizado em estruturas diversas, exceto lajes.</t>
  </si>
  <si>
    <t>Corte e dobra de acço CA-50, diâmetro de 20.0 mm, utilizado em lajes.</t>
  </si>
  <si>
    <t>2.28</t>
  </si>
  <si>
    <t>2.29</t>
  </si>
  <si>
    <t>2.38</t>
  </si>
  <si>
    <t>2.39</t>
  </si>
  <si>
    <t>2.40</t>
  </si>
  <si>
    <t>2.41</t>
  </si>
  <si>
    <t>2.42</t>
  </si>
  <si>
    <t>2.43</t>
  </si>
  <si>
    <t>2.48</t>
  </si>
  <si>
    <t>2.49</t>
  </si>
  <si>
    <t>2.50</t>
  </si>
  <si>
    <t>2.51</t>
  </si>
  <si>
    <t>2.128</t>
  </si>
  <si>
    <t>2.129</t>
  </si>
  <si>
    <t>2.130</t>
  </si>
  <si>
    <t>2.131</t>
  </si>
  <si>
    <t>2.132</t>
  </si>
  <si>
    <t>2.133</t>
  </si>
  <si>
    <t>2.134</t>
  </si>
  <si>
    <t>2.135</t>
  </si>
  <si>
    <t>2.136</t>
  </si>
  <si>
    <t>2.137</t>
  </si>
  <si>
    <t>2.138</t>
  </si>
  <si>
    <t>74064/002</t>
  </si>
  <si>
    <t>79500/002</t>
  </si>
  <si>
    <t>73924/001</t>
  </si>
  <si>
    <t>4.47</t>
  </si>
  <si>
    <t>4.48</t>
  </si>
  <si>
    <t>4.71</t>
  </si>
  <si>
    <t>4.72</t>
  </si>
  <si>
    <t>4.83</t>
  </si>
  <si>
    <t>4.84</t>
  </si>
  <si>
    <t>4.86</t>
  </si>
  <si>
    <t>4.87</t>
  </si>
  <si>
    <t>4.88</t>
  </si>
  <si>
    <t>4.89</t>
  </si>
  <si>
    <t>Locação de adutoras, coletores tronco e interceptores</t>
  </si>
  <si>
    <t>Engenheiro Civil de obra Senior com encargos complementares</t>
  </si>
  <si>
    <t>Motorista operador de munck com encargos com complementares</t>
  </si>
  <si>
    <t>chp</t>
  </si>
  <si>
    <t>Redução com flanges concêntrica - Linha Clássica DN 250/150 PN 25</t>
  </si>
  <si>
    <t>H</t>
  </si>
  <si>
    <t>3.117</t>
  </si>
  <si>
    <t>3.118</t>
  </si>
  <si>
    <t>3.69</t>
  </si>
  <si>
    <t>3.70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</si>
  <si>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</si>
  <si>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</si>
  <si>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</si>
  <si>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</si>
  <si>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</si>
  <si>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</si>
  <si>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</si>
  <si>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</si>
  <si>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</si>
  <si>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</si>
  <si>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</si>
  <si>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</si>
  <si>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</si>
  <si>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</si>
  <si>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</si>
  <si>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</si>
  <si>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</si>
  <si>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</si>
  <si>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</si>
  <si>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</si>
  <si>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</si>
  <si>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</si>
  <si>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</si>
  <si>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</si>
  <si>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</si>
  <si>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</si>
  <si>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</si>
  <si>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</si>
  <si>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</si>
  <si>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</si>
  <si>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</si>
  <si>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</si>
  <si>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</si>
  <si>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</si>
  <si>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</si>
  <si>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</si>
  <si>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</si>
  <si>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</si>
  <si>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</si>
  <si>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</si>
  <si>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</si>
  <si>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</si>
  <si>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</si>
  <si>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</si>
  <si>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</si>
  <si>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</si>
  <si>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</si>
  <si>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</si>
  <si>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</si>
  <si>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</si>
  <si>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</si>
  <si>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</si>
  <si>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</si>
  <si>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</si>
  <si>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</si>
  <si>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</si>
  <si>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</si>
  <si>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</si>
  <si>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</si>
  <si>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</si>
  <si>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</si>
  <si>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</si>
  <si>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</si>
  <si>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</si>
  <si>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</si>
  <si>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</si>
  <si>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</si>
  <si>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</si>
  <si>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</si>
  <si>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</si>
  <si>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</si>
  <si>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</si>
  <si>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</si>
  <si>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</si>
  <si>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</si>
  <si>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</si>
  <si>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</si>
  <si>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</si>
  <si>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</si>
  <si>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</si>
  <si>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</si>
  <si>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</si>
  <si>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</si>
  <si>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</si>
  <si>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</si>
  <si>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</si>
  <si>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</si>
  <si>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</si>
  <si>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</si>
  <si>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</si>
  <si>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</si>
  <si>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</si>
  <si>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</si>
  <si>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</si>
  <si>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</si>
  <si>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</si>
  <si>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</si>
  <si>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</si>
  <si>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</si>
  <si>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</si>
  <si>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</si>
  <si>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</si>
  <si>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Redução ferro fundido - PN 16 DN 600 x 500</t>
  </si>
  <si>
    <t>Redução ferro fundido - PN 16 DN 700 x 600</t>
  </si>
  <si>
    <t>CÓDIGO</t>
  </si>
  <si>
    <t>DESCRIÇÃO DO SERVIÇO OU FORNECIMENTO</t>
  </si>
  <si>
    <t>DATA BASE</t>
  </si>
  <si>
    <t>PREÇO REFERENCIAL</t>
  </si>
  <si>
    <t>001</t>
  </si>
  <si>
    <t>004</t>
  </si>
  <si>
    <t>005</t>
  </si>
  <si>
    <t>006</t>
  </si>
  <si>
    <t>Tubo com flanges - Linha Clássica DN 150  PN 10 C=166mm - 20,42kg</t>
  </si>
  <si>
    <t>FASE I</t>
  </si>
  <si>
    <t>Registro oval c/ flanges e cunha metálica, com volante, s/ by pass e s/ redutor DN 600</t>
  </si>
  <si>
    <t>Registro oval c/ flanges e cunha metálica, com volante, s/ by pass e s/ redutor DN 700</t>
  </si>
  <si>
    <t>ADAPTAÇÃO DAS GRADES DE PISO EXISTENTES, INCLUSIVE CORTES E SOLDAS, COM VISTAS AO SEU APROVEITAMENTO NA ESTRUTURA PROJETADA.</t>
  </si>
  <si>
    <t>Conjunto moto-bomba de Eixo Vertical ,1500 HP, 1775 rpm, Alt. Man.=183,56 m , Tensão= 4,18 KV e vazão de 482,38L/s.</t>
  </si>
  <si>
    <t>Tanque hidropneumático horizontal, com membrana Butyl esp. 2,0mm, capacidade de 3m³,  PN25</t>
  </si>
  <si>
    <t>FONTE</t>
  </si>
  <si>
    <t>Un.</t>
  </si>
  <si>
    <t>SINAPI</t>
  </si>
  <si>
    <t>DESCRIÇÃO DO INSUMO</t>
  </si>
  <si>
    <t>COEFICIENTE</t>
  </si>
  <si>
    <t>CUSTO UNITÁRIO</t>
  </si>
  <si>
    <t>CUSTO TOTAL</t>
  </si>
  <si>
    <t>SINAPI-I</t>
  </si>
  <si>
    <t>Observações:</t>
  </si>
  <si>
    <t>88251</t>
  </si>
  <si>
    <t>SERRALHEIRO COM ENCARGOS COMPLEMENTARES</t>
  </si>
  <si>
    <t>AUXILIAR DE SERRALHEIRO COM ENCARGOS COMPLEMENTARES</t>
  </si>
  <si>
    <t>88315</t>
  </si>
  <si>
    <t>COMPOSIÇÕES</t>
  </si>
  <si>
    <t>Composição 001</t>
  </si>
  <si>
    <t>Tampão fofo articulado, classe b125 carga máx 12,5 t, redondo tampa 600 mm, assentado com arg im/areia 1:4, fornecimento e assentamento.</t>
  </si>
  <si>
    <t>SOLDA EM VARETA FOSCOPER, D = *2,5* MM X COMPRIMENTO 500 MM</t>
  </si>
  <si>
    <t>Kg</t>
  </si>
  <si>
    <t>00039914</t>
  </si>
  <si>
    <t>SOLDADOR COM ENCARGOS COMPLEMENTARES</t>
  </si>
  <si>
    <t>CHP</t>
  </si>
  <si>
    <t>88316</t>
  </si>
  <si>
    <t>SERVENTE COM ENCARGOS COMPLEMENTARES</t>
  </si>
  <si>
    <t>88279</t>
  </si>
  <si>
    <t>MONTADOR ELETROMECÂNICO COM ENCARGOS COMPLEMENTARES</t>
  </si>
  <si>
    <t>92145</t>
  </si>
  <si>
    <t>CAMINHONETE CABINE SIMPLES COM MOTOR 1.6 FLEX, CÂMBIO MANUAL, POTÊNCIA 101/104 CV, 2 PORTAS - CHP DIURNO.</t>
  </si>
  <si>
    <t>UN.</t>
  </si>
  <si>
    <t>Cotação</t>
  </si>
  <si>
    <t>171</t>
  </si>
  <si>
    <t>172</t>
  </si>
  <si>
    <t>Composição</t>
  </si>
  <si>
    <t>73661</t>
  </si>
  <si>
    <t>FORNECIMENTO E INSTALACAO DE TALHA E TROLE MANUAL DE 1 TONELADA</t>
  </si>
  <si>
    <t>FORNECIMENTO E INSTALACAO DE TALHA E TROLE MANUAL DE 5 TONELADAS</t>
  </si>
  <si>
    <t>021</t>
  </si>
  <si>
    <t>115</t>
  </si>
  <si>
    <t>Código Fonte SINAPI, SETOP, ORÇAMENTO</t>
  </si>
  <si>
    <t>PÓRTICO TALHA 5 T, 3 APOIOS, TROLE E TALHA MANUAL, COM DIMENSOES CONFORME PROJETO - FORNECIMENTO E INSTALAÇÃO</t>
  </si>
  <si>
    <t>PÓRTICO TALHA 1 T, 3 APOIOS, TROLE E TALHA MANUAL, COM DIMENSOES CONFORME PROJETO - FORNECIMENTO E INSTALAÇÃO</t>
  </si>
  <si>
    <t>Pórtico Talha 1 T, 3 apoios, trole e talha manual, com dimensoes conforme projeto - Fornecimento e instalação</t>
  </si>
  <si>
    <t>Pórtico Talha 5 T, 3 apoios, trole e talha manual, com dimensoes conforme projeto - Fornecimento e instalação</t>
  </si>
  <si>
    <t xml:space="preserve">Assentamento de conexões e acessórios 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</si>
</sst>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[$-416]mmm\-yy;@"/>
    <numFmt numFmtId="167" formatCode="&quot;R$ &quot;#,##0.00"/>
    <numFmt numFmtId="168" formatCode="0.0000"/>
    <numFmt numFmtId="169" formatCode="&quot;R$&quot;\ #,##0.00;&quot;R$&quot;\ #,##0.00;"/>
    <numFmt numFmtId="170" formatCode="0.000000"/>
    <numFmt numFmtId="171" formatCode="&quot;R$&quot;\ #,##0.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Courier New"/>
      <family val="3"/>
    </font>
    <font>
      <b/>
      <sz val="15"/>
      <color indexed="48"/>
      <name val="Calibri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27" fillId="7" borderId="1" applyNumberFormat="0" applyAlignment="0" applyProtection="0"/>
    <xf numFmtId="0" fontId="3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4" fillId="0" borderId="10" applyNumberFormat="0" applyFill="0" applyAlignment="0" applyProtection="0"/>
    <xf numFmtId="43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0" fillId="0" borderId="0" xfId="0" applyAlignment="1">
      <alignment vertical="center"/>
    </xf>
    <xf numFmtId="165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vertical="center"/>
    </xf>
    <xf numFmtId="0" fontId="8" fillId="0" borderId="13" xfId="0" applyNumberFormat="1" applyFont="1" applyFill="1" applyBorder="1" applyAlignment="1">
      <alignment horizontal="left" vertical="center"/>
    </xf>
    <xf numFmtId="165" fontId="8" fillId="0" borderId="13" xfId="0" applyNumberFormat="1" applyFont="1" applyFill="1" applyBorder="1" applyAlignment="1">
      <alignment horizontal="center" vertical="center"/>
    </xf>
    <xf numFmtId="10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165" fontId="7" fillId="10" borderId="14" xfId="0" applyNumberFormat="1" applyFont="1" applyFill="1" applyBorder="1" applyAlignment="1">
      <alignment horizontal="center" vertical="center"/>
    </xf>
    <xf numFmtId="165" fontId="7" fillId="10" borderId="15" xfId="0" applyNumberFormat="1" applyFont="1" applyFill="1" applyBorder="1" applyAlignment="1">
      <alignment horizontal="center" vertical="center"/>
    </xf>
    <xf numFmtId="165" fontId="7" fillId="10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10" fontId="8" fillId="0" borderId="18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17" fontId="5" fillId="0" borderId="20" xfId="0" applyNumberFormat="1" applyFont="1" applyBorder="1" applyAlignment="1">
      <alignment horizontal="center" vertical="center"/>
    </xf>
    <xf numFmtId="165" fontId="8" fillId="0" borderId="21" xfId="0" applyNumberFormat="1" applyFont="1" applyFill="1" applyBorder="1" applyAlignment="1">
      <alignment horizontal="center" vertical="center" wrapText="1"/>
    </xf>
    <xf numFmtId="0" fontId="0" fillId="0" borderId="0" xfId="59" applyFont="1" applyFill="1" applyBorder="1" applyAlignment="1" applyProtection="1">
      <alignment vertical="center"/>
      <protection locked="0"/>
    </xf>
    <xf numFmtId="10" fontId="8" fillId="0" borderId="22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0" fontId="7" fillId="10" borderId="12" xfId="0" applyNumberFormat="1" applyFont="1" applyFill="1" applyBorder="1" applyAlignment="1">
      <alignment horizontal="center" vertical="center"/>
    </xf>
    <xf numFmtId="10" fontId="7" fillId="0" borderId="23" xfId="62" applyNumberFormat="1" applyFont="1" applyFill="1" applyBorder="1" applyAlignment="1">
      <alignment horizontal="center" vertical="center"/>
    </xf>
    <xf numFmtId="10" fontId="7" fillId="0" borderId="24" xfId="62" applyNumberFormat="1" applyFont="1" applyFill="1" applyBorder="1" applyAlignment="1">
      <alignment horizontal="center" vertical="center"/>
    </xf>
    <xf numFmtId="10" fontId="7" fillId="0" borderId="25" xfId="62" applyNumberFormat="1" applyFont="1" applyFill="1" applyBorder="1" applyAlignment="1">
      <alignment horizontal="center" vertical="center"/>
    </xf>
    <xf numFmtId="165" fontId="7" fillId="10" borderId="26" xfId="0" applyNumberFormat="1" applyFont="1" applyFill="1" applyBorder="1" applyAlignment="1">
      <alignment horizontal="center" vertical="center"/>
    </xf>
    <xf numFmtId="10" fontId="5" fillId="24" borderId="14" xfId="62" applyNumberFormat="1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165" fontId="8" fillId="0" borderId="13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left" vertical="center"/>
    </xf>
    <xf numFmtId="165" fontId="8" fillId="0" borderId="22" xfId="0" applyNumberFormat="1" applyFont="1" applyFill="1" applyBorder="1" applyAlignment="1">
      <alignment horizontal="center" vertical="center"/>
    </xf>
    <xf numFmtId="10" fontId="8" fillId="0" borderId="28" xfId="0" applyNumberFormat="1" applyFont="1" applyFill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left" vertical="center"/>
    </xf>
    <xf numFmtId="165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8" fillId="0" borderId="31" xfId="0" applyNumberFormat="1" applyFont="1" applyBorder="1" applyAlignment="1">
      <alignment horizontal="center" vertical="center"/>
    </xf>
    <xf numFmtId="165" fontId="4" fillId="20" borderId="26" xfId="0" applyNumberFormat="1" applyFont="1" applyFill="1" applyBorder="1" applyAlignment="1">
      <alignment horizontal="center" vertical="center"/>
    </xf>
    <xf numFmtId="165" fontId="4" fillId="20" borderId="15" xfId="0" applyNumberFormat="1" applyFont="1" applyFill="1" applyBorder="1" applyAlignment="1">
      <alignment horizontal="center" vertical="center"/>
    </xf>
    <xf numFmtId="165" fontId="4" fillId="20" borderId="14" xfId="0" applyNumberFormat="1" applyFont="1" applyFill="1" applyBorder="1" applyAlignment="1">
      <alignment horizontal="center" vertical="center"/>
    </xf>
    <xf numFmtId="165" fontId="4" fillId="20" borderId="32" xfId="0" applyNumberFormat="1" applyFont="1" applyFill="1" applyBorder="1" applyAlignment="1">
      <alignment horizontal="center" vertical="center"/>
    </xf>
    <xf numFmtId="165" fontId="4" fillId="2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64" applyFont="1" applyAlignment="1">
      <alignment horizontal="center"/>
    </xf>
    <xf numFmtId="165" fontId="0" fillId="0" borderId="0" xfId="64" applyFont="1" applyAlignment="1">
      <alignment/>
    </xf>
    <xf numFmtId="43" fontId="0" fillId="0" borderId="0" xfId="0" applyNumberFormat="1" applyAlignment="1">
      <alignment/>
    </xf>
    <xf numFmtId="165" fontId="7" fillId="10" borderId="26" xfId="0" applyNumberFormat="1" applyFont="1" applyFill="1" applyBorder="1" applyAlignment="1">
      <alignment horizontal="right" vertical="center"/>
    </xf>
    <xf numFmtId="0" fontId="0" fillId="0" borderId="0" xfId="59" applyFont="1" applyAlignment="1">
      <alignment vertical="center"/>
      <protection/>
    </xf>
    <xf numFmtId="0" fontId="8" fillId="0" borderId="0" xfId="59" applyFont="1" applyAlignment="1">
      <alignment vertical="center"/>
      <protection/>
    </xf>
    <xf numFmtId="165" fontId="6" fillId="10" borderId="19" xfId="0" applyNumberFormat="1" applyFont="1" applyFill="1" applyBorder="1" applyAlignment="1">
      <alignment vertical="center"/>
    </xf>
    <xf numFmtId="165" fontId="6" fillId="10" borderId="20" xfId="0" applyNumberFormat="1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0" xfId="0" applyAlignment="1">
      <alignment horizontal="left"/>
    </xf>
    <xf numFmtId="10" fontId="8" fillId="0" borderId="33" xfId="0" applyNumberFormat="1" applyFont="1" applyBorder="1" applyAlignment="1">
      <alignment horizontal="center" vertical="center"/>
    </xf>
    <xf numFmtId="10" fontId="8" fillId="0" borderId="34" xfId="0" applyNumberFormat="1" applyFont="1" applyFill="1" applyBorder="1" applyAlignment="1">
      <alignment horizontal="center" vertical="center"/>
    </xf>
    <xf numFmtId="10" fontId="8" fillId="0" borderId="35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/>
    </xf>
    <xf numFmtId="10" fontId="7" fillId="0" borderId="36" xfId="62" applyNumberFormat="1" applyFont="1" applyFill="1" applyBorder="1" applyAlignment="1">
      <alignment horizontal="center" vertical="center"/>
    </xf>
    <xf numFmtId="165" fontId="7" fillId="10" borderId="32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/>
    </xf>
    <xf numFmtId="165" fontId="14" fillId="0" borderId="13" xfId="64" applyFont="1" applyFill="1" applyBorder="1" applyAlignment="1">
      <alignment horizontal="center" vertical="center"/>
    </xf>
    <xf numFmtId="0" fontId="8" fillId="0" borderId="0" xfId="59" applyFont="1" applyFill="1" applyAlignment="1">
      <alignment vertical="center" wrapText="1"/>
      <protection/>
    </xf>
    <xf numFmtId="0" fontId="8" fillId="10" borderId="0" xfId="59" applyFont="1" applyFill="1" applyAlignment="1">
      <alignment vertical="center" wrapText="1"/>
      <protection/>
    </xf>
    <xf numFmtId="0" fontId="7" fillId="0" borderId="0" xfId="59" applyFont="1" applyFill="1" applyAlignment="1">
      <alignment vertical="center" wrapText="1"/>
      <protection/>
    </xf>
    <xf numFmtId="0" fontId="7" fillId="10" borderId="0" xfId="59" applyFont="1" applyFill="1" applyAlignment="1">
      <alignment vertical="center" wrapText="1"/>
      <protection/>
    </xf>
    <xf numFmtId="165" fontId="8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37" xfId="0" applyFont="1" applyBorder="1" applyAlignment="1">
      <alignment horizontal="right" vertical="center"/>
    </xf>
    <xf numFmtId="166" fontId="5" fillId="24" borderId="25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24" borderId="38" xfId="0" applyFont="1" applyFill="1" applyBorder="1" applyAlignment="1">
      <alignment vertical="center"/>
    </xf>
    <xf numFmtId="0" fontId="5" fillId="0" borderId="39" xfId="0" applyFont="1" applyBorder="1" applyAlignment="1">
      <alignment vertical="center"/>
    </xf>
    <xf numFmtId="10" fontId="5" fillId="24" borderId="14" xfId="62" applyNumberFormat="1" applyFont="1" applyFill="1" applyBorder="1" applyAlignment="1">
      <alignment horizontal="center" vertical="center"/>
    </xf>
    <xf numFmtId="0" fontId="5" fillId="0" borderId="38" xfId="0" applyNumberFormat="1" applyFont="1" applyBorder="1" applyAlignment="1">
      <alignment vertical="center"/>
    </xf>
    <xf numFmtId="167" fontId="5" fillId="0" borderId="39" xfId="0" applyNumberFormat="1" applyFont="1" applyBorder="1" applyAlignment="1">
      <alignment vertical="center"/>
    </xf>
    <xf numFmtId="164" fontId="6" fillId="0" borderId="4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20" borderId="39" xfId="0" applyFont="1" applyFill="1" applyBorder="1" applyAlignment="1">
      <alignment horizontal="center" vertical="center"/>
    </xf>
    <xf numFmtId="0" fontId="7" fillId="20" borderId="3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10" borderId="41" xfId="0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>
      <alignment horizontal="center" vertical="center" wrapText="1"/>
    </xf>
    <xf numFmtId="10" fontId="7" fillId="24" borderId="4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37" fontId="8" fillId="0" borderId="17" xfId="0" applyNumberFormat="1" applyFont="1" applyFill="1" applyBorder="1" applyAlignment="1">
      <alignment horizontal="center" vertical="center" wrapText="1"/>
    </xf>
    <xf numFmtId="165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165" fontId="8" fillId="0" borderId="21" xfId="0" applyNumberFormat="1" applyFont="1" applyFill="1" applyBorder="1" applyAlignment="1">
      <alignment horizontal="center" vertical="center" wrapText="1"/>
    </xf>
    <xf numFmtId="165" fontId="8" fillId="0" borderId="18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8" fillId="10" borderId="0" xfId="0" applyFont="1" applyFill="1" applyAlignment="1">
      <alignment vertical="center" wrapText="1"/>
    </xf>
    <xf numFmtId="168" fontId="8" fillId="0" borderId="21" xfId="0" applyNumberFormat="1" applyFont="1" applyFill="1" applyBorder="1" applyAlignment="1">
      <alignment horizontal="center" vertical="center" wrapText="1"/>
    </xf>
    <xf numFmtId="165" fontId="8" fillId="24" borderId="13" xfId="0" applyNumberFormat="1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165" fontId="8" fillId="24" borderId="18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8" fontId="8" fillId="24" borderId="21" xfId="0" applyNumberFormat="1" applyFont="1" applyFill="1" applyBorder="1" applyAlignment="1">
      <alignment horizontal="center" vertical="center" wrapText="1"/>
    </xf>
    <xf numFmtId="165" fontId="8" fillId="24" borderId="21" xfId="0" applyNumberFormat="1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/>
    </xf>
    <xf numFmtId="0" fontId="14" fillId="24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165" fontId="8" fillId="0" borderId="0" xfId="0" applyNumberFormat="1" applyFont="1" applyFill="1" applyAlignment="1">
      <alignment vertical="center" wrapText="1"/>
    </xf>
    <xf numFmtId="0" fontId="8" fillId="0" borderId="44" xfId="0" applyNumberFormat="1" applyFont="1" applyFill="1" applyBorder="1" applyAlignment="1">
      <alignment horizontal="center" vertical="center" wrapText="1"/>
    </xf>
    <xf numFmtId="0" fontId="7" fillId="10" borderId="29" xfId="0" applyFont="1" applyFill="1" applyBorder="1" applyAlignment="1">
      <alignment horizontal="center" vertical="center" wrapText="1"/>
    </xf>
    <xf numFmtId="0" fontId="8" fillId="10" borderId="45" xfId="62" applyNumberFormat="1" applyFont="1" applyFill="1" applyBorder="1" applyAlignment="1">
      <alignment horizontal="left" vertical="center" wrapText="1"/>
    </xf>
    <xf numFmtId="0" fontId="7" fillId="10" borderId="45" xfId="0" applyFont="1" applyFill="1" applyBorder="1" applyAlignment="1">
      <alignment vertical="center" wrapText="1"/>
    </xf>
    <xf numFmtId="43" fontId="8" fillId="0" borderId="43" xfId="0" applyNumberFormat="1" applyFont="1" applyFill="1" applyBorder="1" applyAlignment="1">
      <alignment horizontal="center" vertical="center" wrapText="1"/>
    </xf>
    <xf numFmtId="0" fontId="8" fillId="24" borderId="0" xfId="0" applyFont="1" applyFill="1" applyAlignment="1">
      <alignment vertical="center" wrapText="1"/>
    </xf>
    <xf numFmtId="0" fontId="8" fillId="0" borderId="4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3" fontId="8" fillId="0" borderId="0" xfId="0" applyNumberFormat="1" applyFont="1" applyAlignment="1">
      <alignment vertical="center" wrapText="1"/>
    </xf>
    <xf numFmtId="0" fontId="7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vertical="center"/>
    </xf>
    <xf numFmtId="0" fontId="8" fillId="24" borderId="47" xfId="0" applyFont="1" applyFill="1" applyBorder="1" applyAlignment="1">
      <alignment vertical="center" wrapText="1"/>
    </xf>
    <xf numFmtId="0" fontId="8" fillId="24" borderId="0" xfId="0" applyNumberFormat="1" applyFont="1" applyFill="1" applyBorder="1" applyAlignment="1">
      <alignment vertical="center" wrapText="1"/>
    </xf>
    <xf numFmtId="0" fontId="8" fillId="24" borderId="0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vertical="center"/>
    </xf>
    <xf numFmtId="0" fontId="9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4" fontId="0" fillId="24" borderId="0" xfId="0" applyNumberFormat="1" applyFont="1" applyFill="1" applyAlignment="1">
      <alignment vertical="center"/>
    </xf>
    <xf numFmtId="164" fontId="0" fillId="24" borderId="0" xfId="0" applyNumberFormat="1" applyFont="1" applyFill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22" borderId="30" xfId="0" applyFont="1" applyFill="1" applyBorder="1" applyAlignment="1" applyProtection="1">
      <alignment horizontal="center" vertical="center"/>
      <protection locked="0"/>
    </xf>
    <xf numFmtId="17" fontId="18" fillId="22" borderId="13" xfId="0" applyNumberFormat="1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48" xfId="0" applyFont="1" applyBorder="1" applyAlignment="1">
      <alignment horizontal="left" vertical="center"/>
    </xf>
    <xf numFmtId="0" fontId="19" fillId="0" borderId="49" xfId="0" applyFont="1" applyBorder="1" applyAlignment="1">
      <alignment horizontal="left" vertical="center"/>
    </xf>
    <xf numFmtId="0" fontId="19" fillId="22" borderId="50" xfId="0" applyFont="1" applyFill="1" applyBorder="1" applyAlignment="1" applyProtection="1">
      <alignment horizontal="center" vertical="center" wrapText="1"/>
      <protection locked="0"/>
    </xf>
    <xf numFmtId="170" fontId="19" fillId="22" borderId="5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centerContinuous" vertical="center" wrapText="1"/>
      <protection/>
    </xf>
    <xf numFmtId="0" fontId="8" fillId="0" borderId="4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vertical="center" wrapText="1"/>
    </xf>
    <xf numFmtId="37" fontId="8" fillId="0" borderId="17" xfId="0" applyNumberFormat="1" applyFont="1" applyFill="1" applyBorder="1" applyAlignment="1">
      <alignment horizontal="center" vertical="center" wrapText="1"/>
    </xf>
    <xf numFmtId="168" fontId="8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37" fontId="14" fillId="0" borderId="17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65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68" fontId="14" fillId="0" borderId="21" xfId="0" applyNumberFormat="1" applyFont="1" applyFill="1" applyBorder="1" applyAlignment="1">
      <alignment horizontal="center" vertical="center" wrapText="1"/>
    </xf>
    <xf numFmtId="165" fontId="14" fillId="0" borderId="21" xfId="0" applyNumberFormat="1" applyFont="1" applyFill="1" applyBorder="1" applyAlignment="1">
      <alignment horizontal="center" vertical="center" wrapText="1"/>
    </xf>
    <xf numFmtId="165" fontId="14" fillId="0" borderId="18" xfId="0" applyNumberFormat="1" applyFont="1" applyFill="1" applyBorder="1" applyAlignment="1">
      <alignment horizontal="center" vertical="center" wrapText="1"/>
    </xf>
    <xf numFmtId="0" fontId="14" fillId="0" borderId="43" xfId="0" applyNumberFormat="1" applyFont="1" applyFill="1" applyBorder="1" applyAlignment="1">
      <alignment horizontal="center" vertical="center" wrapText="1"/>
    </xf>
    <xf numFmtId="165" fontId="8" fillId="24" borderId="13" xfId="0" applyNumberFormat="1" applyFont="1" applyFill="1" applyBorder="1" applyAlignment="1">
      <alignment horizontal="center" vertical="center" wrapText="1"/>
    </xf>
    <xf numFmtId="0" fontId="18" fillId="0" borderId="45" xfId="0" applyFont="1" applyBorder="1" applyAlignment="1">
      <alignment vertical="center"/>
    </xf>
    <xf numFmtId="2" fontId="18" fillId="0" borderId="13" xfId="0" applyNumberFormat="1" applyFont="1" applyBorder="1" applyAlignment="1">
      <alignment vertical="center" wrapText="1"/>
    </xf>
    <xf numFmtId="0" fontId="18" fillId="0" borderId="34" xfId="0" applyFont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 quotePrefix="1">
      <alignment horizontal="centerContinuous" vertical="center" wrapText="1"/>
      <protection/>
    </xf>
    <xf numFmtId="0" fontId="19" fillId="0" borderId="34" xfId="0" applyFont="1" applyFill="1" applyBorder="1" applyAlignment="1" applyProtection="1">
      <alignment horizontal="centerContinuous" vertical="center" wrapText="1"/>
      <protection/>
    </xf>
    <xf numFmtId="2" fontId="18" fillId="22" borderId="0" xfId="0" applyNumberFormat="1" applyFont="1" applyFill="1" applyBorder="1" applyAlignment="1" applyProtection="1">
      <alignment vertical="center" wrapText="1"/>
      <protection locked="0"/>
    </xf>
    <xf numFmtId="171" fontId="18" fillId="0" borderId="34" xfId="0" applyNumberFormat="1" applyFont="1" applyBorder="1" applyAlignment="1" applyProtection="1">
      <alignment vertical="center"/>
      <protection/>
    </xf>
    <xf numFmtId="0" fontId="19" fillId="0" borderId="34" xfId="0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vertical="center"/>
    </xf>
    <xf numFmtId="171" fontId="19" fillId="0" borderId="51" xfId="0" applyNumberFormat="1" applyFont="1" applyBorder="1" applyAlignment="1">
      <alignment vertical="center"/>
    </xf>
    <xf numFmtId="49" fontId="19" fillId="22" borderId="50" xfId="0" applyNumberFormat="1" applyFont="1" applyFill="1" applyBorder="1" applyAlignment="1" applyProtection="1">
      <alignment horizontal="center" vertical="center" wrapText="1"/>
      <protection locked="0"/>
    </xf>
    <xf numFmtId="2" fontId="19" fillId="22" borderId="50" xfId="0" applyNumberFormat="1" applyFont="1" applyFill="1" applyBorder="1" applyAlignment="1" applyProtection="1">
      <alignment vertical="center" wrapText="1"/>
      <protection locked="0"/>
    </xf>
    <xf numFmtId="171" fontId="19" fillId="22" borderId="50" xfId="0" applyNumberFormat="1" applyFont="1" applyFill="1" applyBorder="1" applyAlignment="1" applyProtection="1">
      <alignment vertical="center" wrapText="1"/>
      <protection locked="0"/>
    </xf>
    <xf numFmtId="0" fontId="19" fillId="22" borderId="21" xfId="0" applyFont="1" applyFill="1" applyBorder="1" applyAlignment="1" applyProtection="1">
      <alignment horizontal="centerContinuous" vertical="center" wrapText="1"/>
      <protection/>
    </xf>
    <xf numFmtId="0" fontId="0" fillId="22" borderId="45" xfId="0" applyFill="1" applyBorder="1" applyAlignment="1" applyProtection="1">
      <alignment horizontal="centerContinuous" vertical="center" wrapText="1"/>
      <protection/>
    </xf>
    <xf numFmtId="49" fontId="0" fillId="22" borderId="45" xfId="0" applyNumberFormat="1" applyFill="1" applyBorder="1" applyAlignment="1" applyProtection="1">
      <alignment horizontal="centerContinuous" vertical="center" wrapText="1"/>
      <protection/>
    </xf>
    <xf numFmtId="0" fontId="0" fillId="0" borderId="12" xfId="0" applyBorder="1" applyAlignment="1">
      <alignment/>
    </xf>
    <xf numFmtId="49" fontId="19" fillId="22" borderId="0" xfId="0" applyNumberFormat="1" applyFont="1" applyFill="1" applyBorder="1" applyAlignment="1" applyProtection="1">
      <alignment horizontal="center" vertical="center" wrapText="1"/>
      <protection locked="0"/>
    </xf>
    <xf numFmtId="170" fontId="19" fillId="22" borderId="52" xfId="0" applyNumberFormat="1" applyFont="1" applyFill="1" applyBorder="1" applyAlignment="1" applyProtection="1">
      <alignment vertical="center" wrapText="1"/>
      <protection locked="0"/>
    </xf>
    <xf numFmtId="0" fontId="19" fillId="22" borderId="47" xfId="0" applyFont="1" applyFill="1" applyBorder="1" applyAlignment="1" applyProtection="1">
      <alignment horizontal="center" vertical="center" wrapText="1"/>
      <protection locked="0"/>
    </xf>
    <xf numFmtId="171" fontId="19" fillId="22" borderId="53" xfId="0" applyNumberFormat="1" applyFont="1" applyFill="1" applyBorder="1" applyAlignment="1" applyProtection="1">
      <alignment vertical="center" wrapText="1"/>
      <protection locked="0"/>
    </xf>
    <xf numFmtId="0" fontId="8" fillId="0" borderId="13" xfId="59" applyNumberFormat="1" applyFont="1" applyFill="1" applyBorder="1" applyAlignment="1">
      <alignment horizontal="center" vertical="center" wrapText="1"/>
      <protection/>
    </xf>
    <xf numFmtId="0" fontId="7" fillId="20" borderId="39" xfId="0" applyFont="1" applyFill="1" applyBorder="1" applyAlignment="1">
      <alignment horizontal="center" vertical="center"/>
    </xf>
    <xf numFmtId="165" fontId="14" fillId="24" borderId="13" xfId="64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8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center"/>
    </xf>
    <xf numFmtId="0" fontId="8" fillId="24" borderId="43" xfId="0" applyNumberFormat="1" applyFont="1" applyFill="1" applyBorder="1" applyAlignment="1">
      <alignment horizontal="center" vertical="center" wrapText="1"/>
    </xf>
    <xf numFmtId="37" fontId="8" fillId="24" borderId="17" xfId="0" applyNumberFormat="1" applyFont="1" applyFill="1" applyBorder="1" applyAlignment="1">
      <alignment horizontal="center" vertical="center" wrapText="1"/>
    </xf>
    <xf numFmtId="0" fontId="8" fillId="24" borderId="4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0" fillId="22" borderId="21" xfId="0" applyFill="1" applyBorder="1" applyAlignment="1" applyProtection="1">
      <alignment horizontal="left" vertical="center" wrapText="1"/>
      <protection locked="0"/>
    </xf>
    <xf numFmtId="0" fontId="0" fillId="22" borderId="45" xfId="0" applyFill="1" applyBorder="1" applyAlignment="1" applyProtection="1">
      <alignment horizontal="left" vertical="center" wrapText="1"/>
      <protection locked="0"/>
    </xf>
    <xf numFmtId="0" fontId="0" fillId="22" borderId="34" xfId="0" applyFill="1" applyBorder="1" applyAlignment="1" applyProtection="1">
      <alignment horizontal="left" vertical="center" wrapText="1"/>
      <protection locked="0"/>
    </xf>
    <xf numFmtId="0" fontId="0" fillId="0" borderId="47" xfId="0" applyBorder="1" applyAlignment="1">
      <alignment horizontal="center"/>
    </xf>
    <xf numFmtId="0" fontId="0" fillId="0" borderId="0" xfId="0" applyFill="1" applyBorder="1" applyAlignment="1" applyProtection="1">
      <alignment horizontal="centerContinuous" vertical="center" wrapText="1"/>
      <protection/>
    </xf>
    <xf numFmtId="49" fontId="0" fillId="0" borderId="0" xfId="0" applyNumberFormat="1" applyFill="1" applyBorder="1" applyAlignment="1" applyProtection="1">
      <alignment horizontal="centerContinuous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>
      <alignment/>
    </xf>
    <xf numFmtId="0" fontId="18" fillId="0" borderId="13" xfId="0" applyFont="1" applyBorder="1" applyAlignment="1" applyProtection="1">
      <alignment horizontal="right" vertical="center"/>
      <protection/>
    </xf>
    <xf numFmtId="0" fontId="17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166" fontId="5" fillId="24" borderId="0" xfId="0" applyNumberFormat="1" applyFont="1" applyFill="1" applyBorder="1" applyAlignment="1">
      <alignment horizontal="center" vertical="center"/>
    </xf>
    <xf numFmtId="10" fontId="5" fillId="24" borderId="40" xfId="62" applyNumberFormat="1" applyFont="1" applyFill="1" applyBorder="1" applyAlignment="1">
      <alignment horizontal="center" vertical="center"/>
    </xf>
    <xf numFmtId="165" fontId="8" fillId="24" borderId="44" xfId="59" applyNumberFormat="1" applyFont="1" applyFill="1" applyBorder="1" applyAlignment="1">
      <alignment horizontal="center" vertical="center" wrapText="1"/>
      <protection/>
    </xf>
    <xf numFmtId="43" fontId="8" fillId="0" borderId="0" xfId="59" applyNumberFormat="1" applyFont="1" applyFill="1" applyAlignment="1">
      <alignment vertical="center" wrapText="1"/>
      <protection/>
    </xf>
    <xf numFmtId="165" fontId="7" fillId="10" borderId="0" xfId="59" applyNumberFormat="1" applyFont="1" applyFill="1" applyAlignment="1">
      <alignment vertical="center" wrapText="1"/>
      <protection/>
    </xf>
    <xf numFmtId="0" fontId="0" fillId="0" borderId="13" xfId="59" applyFont="1" applyBorder="1" applyAlignment="1">
      <alignment vertical="center"/>
      <protection/>
    </xf>
    <xf numFmtId="0" fontId="8" fillId="0" borderId="13" xfId="59" applyFont="1" applyBorder="1" applyAlignment="1">
      <alignment vertical="center"/>
      <protection/>
    </xf>
    <xf numFmtId="44" fontId="8" fillId="0" borderId="13" xfId="53" applyFont="1" applyFill="1" applyBorder="1" applyAlignment="1">
      <alignment horizontal="center" vertical="center" wrapText="1"/>
    </xf>
    <xf numFmtId="44" fontId="0" fillId="0" borderId="0" xfId="53" applyFont="1" applyAlignment="1">
      <alignment/>
    </xf>
    <xf numFmtId="0" fontId="0" fillId="0" borderId="0" xfId="53" applyNumberFormat="1" applyFont="1" applyAlignment="1">
      <alignment/>
    </xf>
    <xf numFmtId="44" fontId="8" fillId="24" borderId="13" xfId="53" applyFont="1" applyFill="1" applyBorder="1" applyAlignment="1">
      <alignment horizontal="center" vertical="center" wrapText="1"/>
    </xf>
    <xf numFmtId="44" fontId="7" fillId="0" borderId="0" xfId="59" applyNumberFormat="1" applyFont="1" applyFill="1" applyAlignment="1">
      <alignment vertical="center" wrapText="1"/>
      <protection/>
    </xf>
    <xf numFmtId="44" fontId="8" fillId="0" borderId="0" xfId="59" applyNumberFormat="1" applyFont="1" applyFill="1" applyAlignment="1">
      <alignment vertical="center" wrapText="1"/>
      <protection/>
    </xf>
    <xf numFmtId="0" fontId="0" fillId="0" borderId="13" xfId="53" applyNumberFormat="1" applyFont="1" applyBorder="1" applyAlignment="1">
      <alignment/>
    </xf>
    <xf numFmtId="14" fontId="5" fillId="24" borderId="13" xfId="53" applyNumberFormat="1" applyFont="1" applyFill="1" applyBorder="1" applyAlignment="1">
      <alignment horizontal="center" vertical="center"/>
    </xf>
    <xf numFmtId="0" fontId="5" fillId="24" borderId="13" xfId="59" applyNumberFormat="1" applyFont="1" applyFill="1" applyBorder="1" applyAlignment="1">
      <alignment vertical="center"/>
      <protection/>
    </xf>
    <xf numFmtId="0" fontId="5" fillId="0" borderId="13" xfId="59" applyNumberFormat="1" applyFont="1" applyBorder="1" applyAlignment="1">
      <alignment vertical="center"/>
      <protection/>
    </xf>
    <xf numFmtId="10" fontId="5" fillId="24" borderId="13" xfId="62" applyNumberFormat="1" applyFont="1" applyFill="1" applyBorder="1" applyAlignment="1">
      <alignment horizontal="center" vertical="center"/>
    </xf>
    <xf numFmtId="0" fontId="8" fillId="0" borderId="13" xfId="53" applyNumberFormat="1" applyFont="1" applyFill="1" applyBorder="1" applyAlignment="1">
      <alignment horizontal="center" vertical="center" wrapText="1"/>
    </xf>
    <xf numFmtId="0" fontId="7" fillId="21" borderId="13" xfId="53" applyNumberFormat="1" applyFont="1" applyFill="1" applyBorder="1" applyAlignment="1">
      <alignment horizontal="center" vertical="center"/>
    </xf>
    <xf numFmtId="0" fontId="7" fillId="10" borderId="13" xfId="59" applyNumberFormat="1" applyFont="1" applyFill="1" applyBorder="1" applyAlignment="1">
      <alignment vertical="center" wrapText="1"/>
      <protection/>
    </xf>
    <xf numFmtId="44" fontId="9" fillId="10" borderId="13" xfId="53" applyFont="1" applyFill="1" applyBorder="1" applyAlignment="1">
      <alignment horizontal="center" vertical="center" wrapText="1"/>
    </xf>
    <xf numFmtId="0" fontId="9" fillId="10" borderId="13" xfId="53" applyNumberFormat="1" applyFont="1" applyFill="1" applyBorder="1" applyAlignment="1">
      <alignment horizontal="center" vertical="center" wrapText="1"/>
    </xf>
    <xf numFmtId="44" fontId="7" fillId="8" borderId="13" xfId="53" applyFont="1" applyFill="1" applyBorder="1" applyAlignment="1">
      <alignment horizontal="center" vertical="center" wrapText="1"/>
    </xf>
    <xf numFmtId="165" fontId="7" fillId="8" borderId="54" xfId="59" applyNumberFormat="1" applyFont="1" applyFill="1" applyBorder="1" applyAlignment="1">
      <alignment horizontal="center" vertical="center" wrapText="1"/>
      <protection/>
    </xf>
    <xf numFmtId="0" fontId="7" fillId="8" borderId="13" xfId="59" applyNumberFormat="1" applyFont="1" applyFill="1" applyBorder="1" applyAlignment="1">
      <alignment horizontal="center" vertical="center" wrapText="1"/>
      <protection/>
    </xf>
    <xf numFmtId="0" fontId="7" fillId="8" borderId="13" xfId="53" applyNumberFormat="1" applyFont="1" applyFill="1" applyBorder="1" applyAlignment="1">
      <alignment horizontal="center" vertical="center" wrapText="1"/>
    </xf>
    <xf numFmtId="165" fontId="7" fillId="8" borderId="44" xfId="59" applyNumberFormat="1" applyFont="1" applyFill="1" applyBorder="1" applyAlignment="1">
      <alignment horizontal="center" vertical="center" wrapText="1"/>
      <protection/>
    </xf>
    <xf numFmtId="43" fontId="5" fillId="0" borderId="0" xfId="0" applyNumberFormat="1" applyFont="1" applyAlignment="1">
      <alignment/>
    </xf>
    <xf numFmtId="37" fontId="8" fillId="0" borderId="13" xfId="59" applyNumberFormat="1" applyFont="1" applyFill="1" applyBorder="1" applyAlignment="1">
      <alignment horizontal="center" vertical="center" wrapText="1"/>
      <protection/>
    </xf>
    <xf numFmtId="44" fontId="9" fillId="10" borderId="0" xfId="53" applyFont="1" applyFill="1" applyBorder="1" applyAlignment="1">
      <alignment horizontal="center" vertical="center" wrapText="1"/>
    </xf>
    <xf numFmtId="43" fontId="7" fillId="10" borderId="0" xfId="59" applyNumberFormat="1" applyFont="1" applyFill="1" applyAlignment="1">
      <alignment vertical="center" wrapText="1"/>
      <protection/>
    </xf>
    <xf numFmtId="0" fontId="7" fillId="10" borderId="13" xfId="59" applyNumberFormat="1" applyFont="1" applyFill="1" applyBorder="1" applyAlignment="1">
      <alignment horizontal="center" vertical="center" wrapText="1"/>
      <protection/>
    </xf>
    <xf numFmtId="37" fontId="7" fillId="8" borderId="13" xfId="59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/>
    </xf>
    <xf numFmtId="10" fontId="5" fillId="24" borderId="0" xfId="62" applyNumberFormat="1" applyFont="1" applyFill="1" applyBorder="1" applyAlignment="1">
      <alignment horizontal="center" vertical="center"/>
    </xf>
    <xf numFmtId="0" fontId="7" fillId="21" borderId="0" xfId="59" applyFont="1" applyFill="1" applyBorder="1" applyAlignment="1">
      <alignment horizontal="center" vertical="center" wrapText="1"/>
      <protection/>
    </xf>
    <xf numFmtId="0" fontId="9" fillId="10" borderId="0" xfId="53" applyNumberFormat="1" applyFont="1" applyFill="1" applyBorder="1" applyAlignment="1">
      <alignment horizontal="center" vertical="center" wrapText="1"/>
    </xf>
    <xf numFmtId="165" fontId="7" fillId="8" borderId="0" xfId="59" applyNumberFormat="1" applyFont="1" applyFill="1" applyBorder="1" applyAlignment="1">
      <alignment horizontal="center" vertical="center" wrapText="1"/>
      <protection/>
    </xf>
    <xf numFmtId="165" fontId="8" fillId="24" borderId="0" xfId="59" applyNumberFormat="1" applyFont="1" applyFill="1" applyBorder="1" applyAlignment="1">
      <alignment horizontal="center" vertical="center" wrapText="1"/>
      <protection/>
    </xf>
    <xf numFmtId="0" fontId="7" fillId="10" borderId="55" xfId="0" applyFont="1" applyFill="1" applyBorder="1" applyAlignment="1">
      <alignment horizontal="left" vertical="center" wrapText="1"/>
    </xf>
    <xf numFmtId="0" fontId="7" fillId="10" borderId="47" xfId="0" applyFont="1" applyFill="1" applyBorder="1" applyAlignment="1">
      <alignment horizontal="left" vertical="center" wrapText="1"/>
    </xf>
    <xf numFmtId="0" fontId="7" fillId="10" borderId="21" xfId="0" applyFont="1" applyFill="1" applyBorder="1" applyAlignment="1">
      <alignment horizontal="left" vertical="center" wrapText="1"/>
    </xf>
    <xf numFmtId="0" fontId="7" fillId="10" borderId="45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24" borderId="21" xfId="0" applyFont="1" applyFill="1" applyBorder="1" applyAlignment="1">
      <alignment horizontal="left" vertical="center" wrapText="1"/>
    </xf>
    <xf numFmtId="0" fontId="14" fillId="24" borderId="45" xfId="0" applyFont="1" applyFill="1" applyBorder="1" applyAlignment="1">
      <alignment horizontal="left" vertical="center" wrapText="1"/>
    </xf>
    <xf numFmtId="0" fontId="14" fillId="24" borderId="3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8" fillId="24" borderId="21" xfId="0" applyFont="1" applyFill="1" applyBorder="1" applyAlignment="1">
      <alignment horizontal="left" vertical="center" wrapText="1"/>
    </xf>
    <xf numFmtId="0" fontId="8" fillId="24" borderId="45" xfId="0" applyFont="1" applyFill="1" applyBorder="1" applyAlignment="1">
      <alignment horizontal="left" vertical="center" wrapText="1"/>
    </xf>
    <xf numFmtId="0" fontId="8" fillId="24" borderId="34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7" fillId="20" borderId="56" xfId="0" applyNumberFormat="1" applyFont="1" applyFill="1" applyBorder="1" applyAlignment="1">
      <alignment horizontal="center" vertical="center" wrapText="1"/>
    </xf>
    <xf numFmtId="0" fontId="7" fillId="20" borderId="57" xfId="0" applyNumberFormat="1" applyFont="1" applyFill="1" applyBorder="1" applyAlignment="1">
      <alignment horizontal="center" vertical="center" wrapText="1"/>
    </xf>
    <xf numFmtId="0" fontId="7" fillId="10" borderId="58" xfId="0" applyFont="1" applyFill="1" applyBorder="1" applyAlignment="1">
      <alignment horizontal="left" vertical="center" wrapText="1"/>
    </xf>
    <xf numFmtId="0" fontId="7" fillId="10" borderId="59" xfId="0" applyFont="1" applyFill="1" applyBorder="1" applyAlignment="1">
      <alignment horizontal="left" vertical="center" wrapText="1"/>
    </xf>
    <xf numFmtId="0" fontId="7" fillId="10" borderId="60" xfId="0" applyFont="1" applyFill="1" applyBorder="1" applyAlignment="1">
      <alignment horizontal="left" vertical="center" wrapText="1"/>
    </xf>
    <xf numFmtId="0" fontId="7" fillId="10" borderId="44" xfId="0" applyFont="1" applyFill="1" applyBorder="1" applyAlignment="1">
      <alignment horizontal="left" vertical="center" wrapText="1"/>
    </xf>
    <xf numFmtId="0" fontId="6" fillId="10" borderId="12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7" fillId="20" borderId="24" xfId="0" applyFont="1" applyFill="1" applyBorder="1" applyAlignment="1">
      <alignment horizontal="center" vertical="center"/>
    </xf>
    <xf numFmtId="0" fontId="7" fillId="20" borderId="65" xfId="0" applyFont="1" applyFill="1" applyBorder="1" applyAlignment="1">
      <alignment horizontal="center" vertical="center"/>
    </xf>
    <xf numFmtId="0" fontId="7" fillId="20" borderId="23" xfId="0" applyFont="1" applyFill="1" applyBorder="1" applyAlignment="1">
      <alignment horizontal="center" vertical="center"/>
    </xf>
    <xf numFmtId="0" fontId="7" fillId="20" borderId="66" xfId="0" applyFont="1" applyFill="1" applyBorder="1" applyAlignment="1">
      <alignment horizontal="center" vertical="center"/>
    </xf>
    <xf numFmtId="0" fontId="7" fillId="20" borderId="67" xfId="0" applyFont="1" applyFill="1" applyBorder="1" applyAlignment="1">
      <alignment horizontal="center" vertical="center"/>
    </xf>
    <xf numFmtId="0" fontId="7" fillId="20" borderId="11" xfId="0" applyFont="1" applyFill="1" applyBorder="1" applyAlignment="1">
      <alignment horizontal="center" vertical="center"/>
    </xf>
    <xf numFmtId="0" fontId="7" fillId="20" borderId="36" xfId="0" applyFont="1" applyFill="1" applyBorder="1" applyAlignment="1">
      <alignment horizontal="center" vertical="center"/>
    </xf>
    <xf numFmtId="0" fontId="7" fillId="20" borderId="68" xfId="0" applyFont="1" applyFill="1" applyBorder="1" applyAlignment="1">
      <alignment horizontal="center" vertical="center"/>
    </xf>
    <xf numFmtId="0" fontId="7" fillId="20" borderId="40" xfId="0" applyFont="1" applyFill="1" applyBorder="1" applyAlignment="1">
      <alignment horizontal="center" vertical="center"/>
    </xf>
    <xf numFmtId="0" fontId="7" fillId="20" borderId="69" xfId="0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/>
    </xf>
    <xf numFmtId="0" fontId="7" fillId="21" borderId="65" xfId="0" applyFont="1" applyFill="1" applyBorder="1" applyAlignment="1">
      <alignment horizontal="center" vertical="center"/>
    </xf>
    <xf numFmtId="0" fontId="7" fillId="20" borderId="58" xfId="0" applyFont="1" applyFill="1" applyBorder="1" applyAlignment="1">
      <alignment horizontal="center" vertical="center"/>
    </xf>
    <xf numFmtId="0" fontId="7" fillId="20" borderId="59" xfId="0" applyFont="1" applyFill="1" applyBorder="1" applyAlignment="1">
      <alignment horizontal="center" vertical="center"/>
    </xf>
    <xf numFmtId="0" fontId="7" fillId="20" borderId="60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10" borderId="45" xfId="0" applyFont="1" applyFill="1" applyBorder="1" applyAlignment="1">
      <alignment horizontal="right" vertical="center" wrapText="1"/>
    </xf>
    <xf numFmtId="0" fontId="7" fillId="10" borderId="26" xfId="0" applyFont="1" applyFill="1" applyBorder="1" applyAlignment="1">
      <alignment horizontal="right" vertical="center" wrapText="1"/>
    </xf>
    <xf numFmtId="0" fontId="7" fillId="10" borderId="15" xfId="0" applyFont="1" applyFill="1" applyBorder="1" applyAlignment="1">
      <alignment horizontal="right" vertical="center" wrapText="1"/>
    </xf>
    <xf numFmtId="0" fontId="7" fillId="10" borderId="7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left" vertical="center" wrapText="1"/>
    </xf>
    <xf numFmtId="0" fontId="9" fillId="24" borderId="0" xfId="0" applyNumberFormat="1" applyFont="1" applyFill="1" applyBorder="1" applyAlignment="1">
      <alignment horizontal="center" vertical="center" wrapText="1"/>
    </xf>
    <xf numFmtId="0" fontId="8" fillId="24" borderId="0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165" fontId="6" fillId="0" borderId="19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43" fontId="8" fillId="0" borderId="71" xfId="0" applyNumberFormat="1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7" fillId="0" borderId="56" xfId="0" applyNumberFormat="1" applyFont="1" applyFill="1" applyBorder="1" applyAlignment="1">
      <alignment horizontal="center" vertical="center"/>
    </xf>
    <xf numFmtId="0" fontId="7" fillId="0" borderId="73" xfId="0" applyNumberFormat="1" applyFont="1" applyFill="1" applyBorder="1" applyAlignment="1">
      <alignment horizontal="center" vertical="center"/>
    </xf>
    <xf numFmtId="0" fontId="7" fillId="0" borderId="57" xfId="0" applyNumberFormat="1" applyFont="1" applyFill="1" applyBorder="1" applyAlignment="1">
      <alignment horizontal="center" vertical="center"/>
    </xf>
    <xf numFmtId="165" fontId="7" fillId="0" borderId="56" xfId="0" applyNumberFormat="1" applyFont="1" applyFill="1" applyBorder="1" applyAlignment="1">
      <alignment horizontal="right" vertical="center"/>
    </xf>
    <xf numFmtId="165" fontId="7" fillId="0" borderId="57" xfId="0" applyNumberFormat="1" applyFont="1" applyFill="1" applyBorder="1" applyAlignment="1">
      <alignment horizontal="right" vertical="center"/>
    </xf>
    <xf numFmtId="165" fontId="7" fillId="0" borderId="56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>
      <alignment horizontal="center" vertical="center"/>
    </xf>
    <xf numFmtId="10" fontId="7" fillId="0" borderId="74" xfId="0" applyNumberFormat="1" applyFont="1" applyFill="1" applyBorder="1" applyAlignment="1">
      <alignment horizontal="center" vertical="center"/>
    </xf>
    <xf numFmtId="10" fontId="7" fillId="0" borderId="75" xfId="0" applyNumberFormat="1" applyFont="1" applyFill="1" applyBorder="1" applyAlignment="1">
      <alignment horizontal="center" vertical="center"/>
    </xf>
    <xf numFmtId="165" fontId="6" fillId="10" borderId="12" xfId="0" applyNumberFormat="1" applyFont="1" applyFill="1" applyBorder="1" applyAlignment="1">
      <alignment horizontal="center" vertical="center"/>
    </xf>
    <xf numFmtId="165" fontId="6" fillId="10" borderId="19" xfId="0" applyNumberFormat="1" applyFont="1" applyFill="1" applyBorder="1" applyAlignment="1">
      <alignment horizontal="center" vertical="center"/>
    </xf>
    <xf numFmtId="165" fontId="6" fillId="10" borderId="2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2" xfId="59" applyFont="1" applyBorder="1" applyAlignment="1">
      <alignment horizontal="center" vertical="center" textRotation="45"/>
      <protection/>
    </xf>
    <xf numFmtId="0" fontId="0" fillId="0" borderId="48" xfId="59" applyFont="1" applyBorder="1" applyAlignment="1">
      <alignment horizontal="center" vertical="center" textRotation="45"/>
      <protection/>
    </xf>
    <xf numFmtId="0" fontId="0" fillId="0" borderId="30" xfId="59" applyFont="1" applyBorder="1" applyAlignment="1">
      <alignment horizontal="center" vertical="center" textRotation="45"/>
      <protection/>
    </xf>
    <xf numFmtId="0" fontId="0" fillId="0" borderId="21" xfId="59" applyFont="1" applyBorder="1" applyAlignment="1">
      <alignment horizontal="center" vertical="center"/>
      <protection/>
    </xf>
    <xf numFmtId="0" fontId="0" fillId="0" borderId="34" xfId="59" applyFont="1" applyBorder="1" applyAlignment="1">
      <alignment horizontal="center" vertical="center"/>
      <protection/>
    </xf>
    <xf numFmtId="0" fontId="7" fillId="21" borderId="13" xfId="59" applyNumberFormat="1" applyFont="1" applyFill="1" applyBorder="1" applyAlignment="1">
      <alignment horizontal="center" vertical="center"/>
      <protection/>
    </xf>
    <xf numFmtId="0" fontId="7" fillId="21" borderId="13" xfId="59" applyNumberFormat="1" applyFont="1" applyFill="1" applyBorder="1" applyAlignment="1">
      <alignment horizontal="center" vertical="center" wrapText="1"/>
      <protection/>
    </xf>
    <xf numFmtId="0" fontId="7" fillId="21" borderId="76" xfId="59" applyFont="1" applyFill="1" applyBorder="1" applyAlignment="1">
      <alignment horizontal="center" vertical="center" wrapText="1"/>
      <protection/>
    </xf>
    <xf numFmtId="0" fontId="7" fillId="21" borderId="77" xfId="59" applyFont="1" applyFill="1" applyBorder="1" applyAlignment="1">
      <alignment horizontal="center" vertical="center" wrapText="1"/>
      <protection/>
    </xf>
    <xf numFmtId="0" fontId="7" fillId="10" borderId="13" xfId="59" applyNumberFormat="1" applyFont="1" applyFill="1" applyBorder="1" applyAlignment="1">
      <alignment horizontal="center" vertical="center" wrapText="1"/>
      <protection/>
    </xf>
    <xf numFmtId="37" fontId="7" fillId="8" borderId="13" xfId="59" applyNumberFormat="1" applyFont="1" applyFill="1" applyBorder="1" applyAlignment="1">
      <alignment horizontal="center" vertical="center" wrapText="1"/>
      <protection/>
    </xf>
    <xf numFmtId="0" fontId="8" fillId="0" borderId="13" xfId="59" applyFont="1" applyFill="1" applyBorder="1" applyAlignment="1">
      <alignment horizontal="left" vertical="center" wrapText="1"/>
      <protection/>
    </xf>
    <xf numFmtId="0" fontId="7" fillId="8" borderId="13" xfId="59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10" borderId="49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3" fillId="0" borderId="13" xfId="59" applyNumberFormat="1" applyFont="1" applyFill="1" applyBorder="1" applyAlignment="1">
      <alignment horizontal="left" vertical="center"/>
      <protection/>
    </xf>
    <xf numFmtId="0" fontId="5" fillId="0" borderId="13" xfId="0" applyNumberFormat="1" applyFont="1" applyBorder="1" applyAlignment="1">
      <alignment horizontal="left" vertical="center" wrapText="1"/>
    </xf>
    <xf numFmtId="17" fontId="5" fillId="0" borderId="21" xfId="0" applyNumberFormat="1" applyFont="1" applyBorder="1" applyAlignment="1">
      <alignment horizontal="center" vertical="center"/>
    </xf>
    <xf numFmtId="17" fontId="5" fillId="0" borderId="4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20" borderId="12" xfId="0" applyFont="1" applyFill="1" applyBorder="1" applyAlignment="1">
      <alignment horizontal="center"/>
    </xf>
    <xf numFmtId="0" fontId="17" fillId="20" borderId="19" xfId="0" applyFont="1" applyFill="1" applyBorder="1" applyAlignment="1">
      <alignment horizontal="center"/>
    </xf>
    <xf numFmtId="0" fontId="17" fillId="20" borderId="20" xfId="0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Hyperlink 2" xfId="49"/>
    <cellStyle name="Indefinido" xfId="50"/>
    <cellStyle name="Input" xfId="51"/>
    <cellStyle name="Linked Cell" xfId="52"/>
    <cellStyle name="Currency" xfId="53"/>
    <cellStyle name="Currency [0]" xfId="54"/>
    <cellStyle name="Neutral" xfId="55"/>
    <cellStyle name="Normal 2" xfId="56"/>
    <cellStyle name="Normal 3" xfId="57"/>
    <cellStyle name="Normal 3 2" xfId="58"/>
    <cellStyle name="Normal 3 3" xfId="59"/>
    <cellStyle name="Note" xfId="60"/>
    <cellStyle name="Output" xfId="61"/>
    <cellStyle name="Percent" xfId="62"/>
    <cellStyle name="Porcentagem 2" xfId="63"/>
    <cellStyle name="Comma" xfId="64"/>
    <cellStyle name="Comma [0]" xfId="65"/>
    <cellStyle name="Separador de milhares 2" xfId="66"/>
    <cellStyle name="Separador de milhares 2 2" xfId="67"/>
    <cellStyle name="Title" xfId="68"/>
    <cellStyle name="Título 1 1" xfId="69"/>
    <cellStyle name="Total" xfId="70"/>
    <cellStyle name="Vírgula 2 2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USUARIOS\33%20-%20Jucil&#233;ia%20Costa%20Vieira\Quadro%20rede%20Modelo%205%20-%20Valendo%20-%20Original-Codevasf-modific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DE COLETO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1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C7" sqref="C7:K7"/>
    </sheetView>
  </sheetViews>
  <sheetFormatPr defaultColWidth="9.140625" defaultRowHeight="12.75"/>
  <cols>
    <col min="1" max="1" width="1.7109375" style="82" customWidth="1"/>
    <col min="2" max="2" width="7.57421875" style="85" customWidth="1"/>
    <col min="3" max="4" width="9.140625" style="85" customWidth="1"/>
    <col min="5" max="5" width="7.28125" style="85" customWidth="1"/>
    <col min="6" max="10" width="9.140625" style="85" customWidth="1"/>
    <col min="11" max="11" width="10.140625" style="85" customWidth="1"/>
    <col min="12" max="12" width="10.8515625" style="150" bestFit="1" customWidth="1"/>
    <col min="13" max="13" width="10.140625" style="85" customWidth="1"/>
    <col min="14" max="14" width="12.28125" style="210" customWidth="1"/>
    <col min="15" max="15" width="9.140625" style="151" customWidth="1"/>
    <col min="16" max="16" width="12.7109375" style="85" customWidth="1"/>
    <col min="17" max="17" width="15.8515625" style="150" bestFit="1" customWidth="1"/>
    <col min="18" max="18" width="33.00390625" style="148" customWidth="1"/>
    <col min="19" max="19" width="10.8515625" style="149" bestFit="1" customWidth="1"/>
    <col min="20" max="20" width="10.8515625" style="85" bestFit="1" customWidth="1"/>
    <col min="21" max="21" width="15.57421875" style="85" bestFit="1" customWidth="1"/>
    <col min="22" max="22" width="9.140625" style="85" customWidth="1"/>
    <col min="23" max="23" width="24.28125" style="85" bestFit="1" customWidth="1"/>
    <col min="24" max="24" width="11.421875" style="85" bestFit="1" customWidth="1"/>
    <col min="25" max="25" width="9.140625" style="85" customWidth="1"/>
    <col min="26" max="26" width="11.421875" style="85" bestFit="1" customWidth="1"/>
    <col min="27" max="28" width="11.7109375" style="85" bestFit="1" customWidth="1"/>
    <col min="29" max="16384" width="9.140625" style="85" customWidth="1"/>
  </cols>
  <sheetData>
    <row r="1" spans="2:19" ht="19.5" customHeight="1" thickBot="1">
      <c r="B1" s="300" t="s">
        <v>550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2"/>
      <c r="R1" s="83"/>
      <c r="S1" s="84">
        <v>12582234.13</v>
      </c>
    </row>
    <row r="2" spans="2:19" ht="15" customHeight="1" thickBot="1">
      <c r="B2" s="306" t="s">
        <v>96</v>
      </c>
      <c r="C2" s="307"/>
      <c r="D2" s="307"/>
      <c r="E2" s="308"/>
      <c r="F2" s="324" t="s">
        <v>551</v>
      </c>
      <c r="G2" s="325"/>
      <c r="H2" s="325"/>
      <c r="I2" s="325"/>
      <c r="J2" s="325"/>
      <c r="K2" s="325"/>
      <c r="L2" s="325"/>
      <c r="M2" s="325"/>
      <c r="N2" s="325"/>
      <c r="O2" s="326"/>
      <c r="P2" s="86" t="s">
        <v>71</v>
      </c>
      <c r="Q2" s="87">
        <v>42825</v>
      </c>
      <c r="R2" s="88"/>
      <c r="S2" s="84">
        <v>1398026.01</v>
      </c>
    </row>
    <row r="3" spans="2:20" ht="15" customHeight="1" thickBot="1">
      <c r="B3" s="303" t="s">
        <v>101</v>
      </c>
      <c r="C3" s="304"/>
      <c r="D3" s="304"/>
      <c r="E3" s="305"/>
      <c r="F3" s="327" t="s">
        <v>474</v>
      </c>
      <c r="G3" s="328"/>
      <c r="H3" s="328"/>
      <c r="I3" s="328"/>
      <c r="J3" s="89" t="s">
        <v>475</v>
      </c>
      <c r="K3" s="89"/>
      <c r="L3" s="90"/>
      <c r="M3" s="91" t="s">
        <v>139</v>
      </c>
      <c r="N3" s="37" t="e">
        <f>#REF!/100</f>
        <v>#REF!</v>
      </c>
      <c r="O3" s="93"/>
      <c r="P3" s="94" t="s">
        <v>138</v>
      </c>
      <c r="Q3" s="92" t="e">
        <f>#REF!/100</f>
        <v>#REF!</v>
      </c>
      <c r="R3" s="95" t="e">
        <f>N466</f>
        <v>#REF!</v>
      </c>
      <c r="S3" s="84">
        <f>SUM(S1:S2)</f>
        <v>13980260.14</v>
      </c>
      <c r="T3" s="85" t="e">
        <f>S3/R3</f>
        <v>#REF!</v>
      </c>
    </row>
    <row r="4" spans="1:19" s="98" customFormat="1" ht="15" customHeight="1">
      <c r="A4" s="96"/>
      <c r="B4" s="311" t="s">
        <v>99</v>
      </c>
      <c r="C4" s="313" t="s">
        <v>100</v>
      </c>
      <c r="D4" s="314"/>
      <c r="E4" s="314"/>
      <c r="F4" s="314"/>
      <c r="G4" s="314"/>
      <c r="H4" s="314"/>
      <c r="I4" s="314"/>
      <c r="J4" s="314"/>
      <c r="K4" s="315"/>
      <c r="L4" s="319" t="s">
        <v>678</v>
      </c>
      <c r="M4" s="309" t="s">
        <v>75</v>
      </c>
      <c r="N4" s="321" t="s">
        <v>76</v>
      </c>
      <c r="O4" s="322"/>
      <c r="P4" s="322"/>
      <c r="Q4" s="323"/>
      <c r="R4" s="294" t="s">
        <v>990</v>
      </c>
      <c r="S4" s="97"/>
    </row>
    <row r="5" spans="1:19" s="98" customFormat="1" ht="15" customHeight="1" thickBot="1">
      <c r="A5" s="96"/>
      <c r="B5" s="312"/>
      <c r="C5" s="316"/>
      <c r="D5" s="317"/>
      <c r="E5" s="317"/>
      <c r="F5" s="317"/>
      <c r="G5" s="317"/>
      <c r="H5" s="317"/>
      <c r="I5" s="317"/>
      <c r="J5" s="317"/>
      <c r="K5" s="318"/>
      <c r="L5" s="320"/>
      <c r="M5" s="310"/>
      <c r="N5" s="206" t="s">
        <v>136</v>
      </c>
      <c r="O5" s="100" t="s">
        <v>135</v>
      </c>
      <c r="P5" s="99" t="s">
        <v>137</v>
      </c>
      <c r="Q5" s="99" t="s">
        <v>77</v>
      </c>
      <c r="R5" s="295"/>
      <c r="S5" s="97"/>
    </row>
    <row r="6" spans="1:19" s="106" customFormat="1" ht="15" customHeight="1" thickBot="1">
      <c r="A6" s="101"/>
      <c r="B6" s="102">
        <v>1</v>
      </c>
      <c r="C6" s="296" t="s">
        <v>174</v>
      </c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8"/>
      <c r="Q6" s="103" t="e">
        <f>SUM(Q7:Q11)</f>
        <v>#REF!</v>
      </c>
      <c r="R6" s="104"/>
      <c r="S6" s="105"/>
    </row>
    <row r="7" spans="1:18" s="105" customFormat="1" ht="24.75" customHeight="1">
      <c r="A7" s="101"/>
      <c r="B7" s="107" t="s">
        <v>63</v>
      </c>
      <c r="C7" s="280" t="s">
        <v>240</v>
      </c>
      <c r="D7" s="281"/>
      <c r="E7" s="281"/>
      <c r="F7" s="281"/>
      <c r="G7" s="281"/>
      <c r="H7" s="281"/>
      <c r="I7" s="281"/>
      <c r="J7" s="281"/>
      <c r="K7" s="282"/>
      <c r="L7" s="108">
        <v>2</v>
      </c>
      <c r="M7" s="109" t="s">
        <v>72</v>
      </c>
      <c r="N7" s="40">
        <v>310.89</v>
      </c>
      <c r="O7" s="110" t="e">
        <f aca="true" t="shared" si="0" ref="O7:O12">(1+$Q$3)</f>
        <v>#REF!</v>
      </c>
      <c r="P7" s="111" t="e">
        <f>ROUND(N7*O7,2)</f>
        <v>#REF!</v>
      </c>
      <c r="Q7" s="112" t="e">
        <f aca="true" t="shared" si="1" ref="Q7:Q12">ROUND(L7*P7,2)</f>
        <v>#REF!</v>
      </c>
      <c r="R7" s="113" t="s">
        <v>192</v>
      </c>
    </row>
    <row r="8" spans="1:18" s="105" customFormat="1" ht="39" customHeight="1">
      <c r="A8" s="101"/>
      <c r="B8" s="107" t="s">
        <v>64</v>
      </c>
      <c r="C8" s="280" t="s">
        <v>593</v>
      </c>
      <c r="D8" s="281"/>
      <c r="E8" s="281"/>
      <c r="F8" s="281"/>
      <c r="G8" s="281"/>
      <c r="H8" s="281"/>
      <c r="I8" s="281"/>
      <c r="J8" s="281"/>
      <c r="K8" s="282"/>
      <c r="L8" s="108">
        <f>17+17+25+20+10</f>
        <v>89</v>
      </c>
      <c r="M8" s="109" t="s">
        <v>72</v>
      </c>
      <c r="N8" s="40">
        <f>(17*530.99+17*530.99+25*491.39+20*389.05+10*491.39)/(17+17+25+20+10)</f>
        <v>483.5203370786517</v>
      </c>
      <c r="O8" s="110" t="e">
        <f t="shared" si="0"/>
        <v>#REF!</v>
      </c>
      <c r="P8" s="111" t="e">
        <f>ROUND(N8*O8,2)</f>
        <v>#REF!</v>
      </c>
      <c r="Q8" s="112" t="e">
        <f t="shared" si="1"/>
        <v>#REF!</v>
      </c>
      <c r="R8" s="113" t="s">
        <v>594</v>
      </c>
    </row>
    <row r="9" spans="1:19" s="105" customFormat="1" ht="15" customHeight="1">
      <c r="A9" s="101"/>
      <c r="B9" s="107" t="s">
        <v>65</v>
      </c>
      <c r="C9" s="280" t="s">
        <v>152</v>
      </c>
      <c r="D9" s="281"/>
      <c r="E9" s="281"/>
      <c r="F9" s="281"/>
      <c r="G9" s="281"/>
      <c r="H9" s="281"/>
      <c r="I9" s="281"/>
      <c r="J9" s="281"/>
      <c r="K9" s="282"/>
      <c r="L9" s="108">
        <v>11</v>
      </c>
      <c r="M9" s="109" t="s">
        <v>129</v>
      </c>
      <c r="N9" s="40">
        <v>8.5</v>
      </c>
      <c r="O9" s="110" t="e">
        <f t="shared" si="0"/>
        <v>#REF!</v>
      </c>
      <c r="P9" s="111" t="e">
        <f>ROUND(N9*(O9),2)</f>
        <v>#REF!</v>
      </c>
      <c r="Q9" s="112" t="e">
        <f t="shared" si="1"/>
        <v>#REF!</v>
      </c>
      <c r="R9" s="113" t="s">
        <v>150</v>
      </c>
      <c r="S9" s="343" t="e">
        <f>SUM(Q9:Q11)/2</f>
        <v>#REF!</v>
      </c>
    </row>
    <row r="10" spans="1:19" s="105" customFormat="1" ht="15" customHeight="1">
      <c r="A10" s="101"/>
      <c r="B10" s="107" t="s">
        <v>70</v>
      </c>
      <c r="C10" s="280" t="s">
        <v>148</v>
      </c>
      <c r="D10" s="281"/>
      <c r="E10" s="281"/>
      <c r="F10" s="281"/>
      <c r="G10" s="281"/>
      <c r="H10" s="281"/>
      <c r="I10" s="281"/>
      <c r="J10" s="281"/>
      <c r="K10" s="282"/>
      <c r="L10" s="108">
        <f>9*500</f>
        <v>4500</v>
      </c>
      <c r="M10" s="109" t="s">
        <v>149</v>
      </c>
      <c r="N10" s="40">
        <v>0.67</v>
      </c>
      <c r="O10" s="110" t="e">
        <f t="shared" si="0"/>
        <v>#REF!</v>
      </c>
      <c r="P10" s="111" t="e">
        <f>ROUND(N10*(O10),2)</f>
        <v>#REF!</v>
      </c>
      <c r="Q10" s="112" t="e">
        <f t="shared" si="1"/>
        <v>#REF!</v>
      </c>
      <c r="R10" s="113" t="s">
        <v>151</v>
      </c>
      <c r="S10" s="344"/>
    </row>
    <row r="11" spans="1:19" s="105" customFormat="1" ht="15" customHeight="1">
      <c r="A11" s="101"/>
      <c r="B11" s="107" t="s">
        <v>172</v>
      </c>
      <c r="C11" s="280" t="s">
        <v>153</v>
      </c>
      <c r="D11" s="281"/>
      <c r="E11" s="281"/>
      <c r="F11" s="281"/>
      <c r="G11" s="281"/>
      <c r="H11" s="281"/>
      <c r="I11" s="281"/>
      <c r="J11" s="281"/>
      <c r="K11" s="282"/>
      <c r="L11" s="108">
        <v>32</v>
      </c>
      <c r="M11" s="109" t="s">
        <v>827</v>
      </c>
      <c r="N11" s="40">
        <v>167.13</v>
      </c>
      <c r="O11" s="110" t="e">
        <f t="shared" si="0"/>
        <v>#REF!</v>
      </c>
      <c r="P11" s="111" t="e">
        <f>ROUND(N11*(O11),2)</f>
        <v>#REF!</v>
      </c>
      <c r="Q11" s="112" t="e">
        <f t="shared" si="1"/>
        <v>#REF!</v>
      </c>
      <c r="R11" s="113">
        <v>89876</v>
      </c>
      <c r="S11" s="344"/>
    </row>
    <row r="12" spans="1:19" s="105" customFormat="1" ht="15" customHeight="1" thickBot="1">
      <c r="A12" s="101"/>
      <c r="B12" s="107" t="s">
        <v>173</v>
      </c>
      <c r="C12" s="280" t="s">
        <v>826</v>
      </c>
      <c r="D12" s="281"/>
      <c r="E12" s="281"/>
      <c r="F12" s="281"/>
      <c r="G12" s="281"/>
      <c r="H12" s="281"/>
      <c r="I12" s="281"/>
      <c r="J12" s="281"/>
      <c r="K12" s="282"/>
      <c r="L12" s="108">
        <v>32</v>
      </c>
      <c r="M12" s="109" t="s">
        <v>134</v>
      </c>
      <c r="N12" s="40">
        <v>13.81</v>
      </c>
      <c r="O12" s="110" t="e">
        <f t="shared" si="0"/>
        <v>#REF!</v>
      </c>
      <c r="P12" s="111" t="e">
        <f>ROUND(N12*(O12),2)</f>
        <v>#REF!</v>
      </c>
      <c r="Q12" s="112" t="e">
        <f t="shared" si="1"/>
        <v>#REF!</v>
      </c>
      <c r="R12" s="113">
        <v>88286</v>
      </c>
      <c r="S12" s="114"/>
    </row>
    <row r="13" spans="1:19" s="116" customFormat="1" ht="15" customHeight="1" thickBot="1">
      <c r="A13" s="101"/>
      <c r="B13" s="115">
        <v>2</v>
      </c>
      <c r="C13" s="270" t="s">
        <v>175</v>
      </c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99"/>
      <c r="Q13" s="103" t="e">
        <f>SUM(Q14:Q149)</f>
        <v>#REF!</v>
      </c>
      <c r="R13" s="113"/>
      <c r="S13" s="105"/>
    </row>
    <row r="14" spans="1:18" s="105" customFormat="1" ht="24.75" customHeight="1">
      <c r="A14" s="101"/>
      <c r="B14" s="107" t="s">
        <v>66</v>
      </c>
      <c r="C14" s="280" t="s">
        <v>504</v>
      </c>
      <c r="D14" s="281"/>
      <c r="E14" s="281"/>
      <c r="F14" s="281"/>
      <c r="G14" s="281"/>
      <c r="H14" s="281"/>
      <c r="I14" s="281"/>
      <c r="J14" s="281"/>
      <c r="K14" s="282"/>
      <c r="L14" s="108">
        <f>457.39</f>
        <v>457.39</v>
      </c>
      <c r="M14" s="109" t="s">
        <v>72</v>
      </c>
      <c r="N14" s="40">
        <v>0.46</v>
      </c>
      <c r="O14" s="117" t="e">
        <f>(1+$Q$3)</f>
        <v>#REF!</v>
      </c>
      <c r="P14" s="111" t="e">
        <f aca="true" t="shared" si="2" ref="P14:P46">ROUND(N14*O14,2)</f>
        <v>#REF!</v>
      </c>
      <c r="Q14" s="112" t="e">
        <f aca="true" t="shared" si="3" ref="Q14:Q86">ROUND(L14*P14,2)</f>
        <v>#REF!</v>
      </c>
      <c r="R14" s="113" t="s">
        <v>119</v>
      </c>
    </row>
    <row r="15" spans="1:18" s="105" customFormat="1" ht="15" customHeight="1">
      <c r="A15" s="101"/>
      <c r="B15" s="107" t="s">
        <v>67</v>
      </c>
      <c r="C15" s="280" t="s">
        <v>61</v>
      </c>
      <c r="D15" s="281"/>
      <c r="E15" s="281"/>
      <c r="F15" s="281"/>
      <c r="G15" s="281"/>
      <c r="H15" s="281"/>
      <c r="I15" s="281"/>
      <c r="J15" s="281"/>
      <c r="K15" s="282"/>
      <c r="L15" s="108">
        <f>L21</f>
        <v>311.81</v>
      </c>
      <c r="M15" s="109" t="s">
        <v>72</v>
      </c>
      <c r="N15" s="40">
        <v>4.66</v>
      </c>
      <c r="O15" s="117" t="e">
        <f aca="true" t="shared" si="4" ref="O15:O46">(1+$Q$3)</f>
        <v>#REF!</v>
      </c>
      <c r="P15" s="111" t="e">
        <f t="shared" si="2"/>
        <v>#REF!</v>
      </c>
      <c r="Q15" s="112" t="e">
        <f t="shared" si="3"/>
        <v>#REF!</v>
      </c>
      <c r="R15" s="113" t="s">
        <v>235</v>
      </c>
    </row>
    <row r="16" spans="1:18" s="105" customFormat="1" ht="15" customHeight="1">
      <c r="A16" s="101"/>
      <c r="B16" s="107" t="s">
        <v>68</v>
      </c>
      <c r="C16" s="280" t="s">
        <v>178</v>
      </c>
      <c r="D16" s="281"/>
      <c r="E16" s="281"/>
      <c r="F16" s="281"/>
      <c r="G16" s="281"/>
      <c r="H16" s="281"/>
      <c r="I16" s="281"/>
      <c r="J16" s="281"/>
      <c r="K16" s="282"/>
      <c r="L16" s="108">
        <f>7.98*6+53.17</f>
        <v>101.05000000000001</v>
      </c>
      <c r="M16" s="109" t="s">
        <v>73</v>
      </c>
      <c r="N16" s="40">
        <v>46.56</v>
      </c>
      <c r="O16" s="117" t="e">
        <f t="shared" si="4"/>
        <v>#REF!</v>
      </c>
      <c r="P16" s="111" t="e">
        <f t="shared" si="2"/>
        <v>#REF!</v>
      </c>
      <c r="Q16" s="112" t="e">
        <f t="shared" si="3"/>
        <v>#REF!</v>
      </c>
      <c r="R16" s="113">
        <v>72214</v>
      </c>
    </row>
    <row r="17" spans="1:18" s="105" customFormat="1" ht="15" customHeight="1">
      <c r="A17" s="101"/>
      <c r="B17" s="107" t="s">
        <v>95</v>
      </c>
      <c r="C17" s="280" t="s">
        <v>241</v>
      </c>
      <c r="D17" s="281"/>
      <c r="E17" s="281"/>
      <c r="F17" s="281"/>
      <c r="G17" s="281"/>
      <c r="H17" s="281"/>
      <c r="I17" s="281"/>
      <c r="J17" s="281"/>
      <c r="K17" s="282"/>
      <c r="L17" s="108">
        <f>457.39*3.5</f>
        <v>1600.865</v>
      </c>
      <c r="M17" s="109" t="s">
        <v>73</v>
      </c>
      <c r="N17" s="40">
        <v>2.59</v>
      </c>
      <c r="O17" s="117" t="e">
        <f t="shared" si="4"/>
        <v>#REF!</v>
      </c>
      <c r="P17" s="111" t="e">
        <f t="shared" si="2"/>
        <v>#REF!</v>
      </c>
      <c r="Q17" s="112" t="e">
        <f t="shared" si="3"/>
        <v>#REF!</v>
      </c>
      <c r="R17" s="113">
        <v>79480</v>
      </c>
    </row>
    <row r="18" spans="1:18" s="105" customFormat="1" ht="15" customHeight="1">
      <c r="A18" s="101"/>
      <c r="B18" s="107" t="s">
        <v>102</v>
      </c>
      <c r="C18" s="280" t="s">
        <v>242</v>
      </c>
      <c r="D18" s="281"/>
      <c r="E18" s="281"/>
      <c r="F18" s="281"/>
      <c r="G18" s="281"/>
      <c r="H18" s="281"/>
      <c r="I18" s="281"/>
      <c r="J18" s="281"/>
      <c r="K18" s="282"/>
      <c r="L18" s="108">
        <f>457.39*1</f>
        <v>457.39</v>
      </c>
      <c r="M18" s="109" t="s">
        <v>73</v>
      </c>
      <c r="N18" s="40">
        <v>10.62</v>
      </c>
      <c r="O18" s="117" t="e">
        <f t="shared" si="4"/>
        <v>#REF!</v>
      </c>
      <c r="P18" s="111" t="e">
        <f t="shared" si="2"/>
        <v>#REF!</v>
      </c>
      <c r="Q18" s="112" t="e">
        <f t="shared" si="3"/>
        <v>#REF!</v>
      </c>
      <c r="R18" s="113">
        <v>72917</v>
      </c>
    </row>
    <row r="19" spans="1:18" s="105" customFormat="1" ht="15" customHeight="1">
      <c r="A19" s="101"/>
      <c r="B19" s="107" t="s">
        <v>112</v>
      </c>
      <c r="C19" s="280" t="s">
        <v>179</v>
      </c>
      <c r="D19" s="281"/>
      <c r="E19" s="281"/>
      <c r="F19" s="281"/>
      <c r="G19" s="281"/>
      <c r="H19" s="281"/>
      <c r="I19" s="281"/>
      <c r="J19" s="281"/>
      <c r="K19" s="282"/>
      <c r="L19" s="108">
        <f>457.39*3.1</f>
        <v>1417.909</v>
      </c>
      <c r="M19" s="109" t="s">
        <v>73</v>
      </c>
      <c r="N19" s="40">
        <v>66.42</v>
      </c>
      <c r="O19" s="117" t="e">
        <f t="shared" si="4"/>
        <v>#REF!</v>
      </c>
      <c r="P19" s="111" t="e">
        <f t="shared" si="2"/>
        <v>#REF!</v>
      </c>
      <c r="Q19" s="112" t="e">
        <f t="shared" si="3"/>
        <v>#REF!</v>
      </c>
      <c r="R19" s="113">
        <v>65000198</v>
      </c>
    </row>
    <row r="20" spans="1:18" s="105" customFormat="1" ht="15" customHeight="1">
      <c r="A20" s="101"/>
      <c r="B20" s="107" t="s">
        <v>58</v>
      </c>
      <c r="C20" s="280" t="s">
        <v>180</v>
      </c>
      <c r="D20" s="281"/>
      <c r="E20" s="281"/>
      <c r="F20" s="281"/>
      <c r="G20" s="281"/>
      <c r="H20" s="281"/>
      <c r="I20" s="281"/>
      <c r="J20" s="281"/>
      <c r="K20" s="282"/>
      <c r="L20" s="108">
        <f>325.16*2</f>
        <v>650.32</v>
      </c>
      <c r="M20" s="109" t="s">
        <v>72</v>
      </c>
      <c r="N20" s="40">
        <v>44.93</v>
      </c>
      <c r="O20" s="117" t="e">
        <f t="shared" si="4"/>
        <v>#REF!</v>
      </c>
      <c r="P20" s="111" t="e">
        <f t="shared" si="2"/>
        <v>#REF!</v>
      </c>
      <c r="Q20" s="112" t="e">
        <f t="shared" si="3"/>
        <v>#REF!</v>
      </c>
      <c r="R20" s="113" t="s">
        <v>122</v>
      </c>
    </row>
    <row r="21" spans="1:18" s="105" customFormat="1" ht="15" customHeight="1">
      <c r="A21" s="101"/>
      <c r="B21" s="107" t="s">
        <v>57</v>
      </c>
      <c r="C21" s="280" t="s">
        <v>106</v>
      </c>
      <c r="D21" s="281"/>
      <c r="E21" s="281"/>
      <c r="F21" s="281"/>
      <c r="G21" s="281"/>
      <c r="H21" s="281"/>
      <c r="I21" s="281"/>
      <c r="J21" s="281"/>
      <c r="K21" s="282"/>
      <c r="L21" s="108">
        <f>311.81</f>
        <v>311.81</v>
      </c>
      <c r="M21" s="109" t="s">
        <v>72</v>
      </c>
      <c r="N21" s="40">
        <v>1.83</v>
      </c>
      <c r="O21" s="117" t="e">
        <f t="shared" si="4"/>
        <v>#REF!</v>
      </c>
      <c r="P21" s="111" t="e">
        <f t="shared" si="2"/>
        <v>#REF!</v>
      </c>
      <c r="Q21" s="112" t="e">
        <f t="shared" si="3"/>
        <v>#REF!</v>
      </c>
      <c r="R21" s="113">
        <v>94099</v>
      </c>
    </row>
    <row r="22" spans="1:21" s="105" customFormat="1" ht="15" customHeight="1">
      <c r="A22" s="101"/>
      <c r="B22" s="107" t="s">
        <v>145</v>
      </c>
      <c r="C22" s="280" t="s">
        <v>182</v>
      </c>
      <c r="D22" s="281"/>
      <c r="E22" s="281"/>
      <c r="F22" s="281"/>
      <c r="G22" s="281"/>
      <c r="H22" s="281"/>
      <c r="I22" s="281"/>
      <c r="J22" s="281"/>
      <c r="K22" s="282"/>
      <c r="L22" s="118">
        <v>2</v>
      </c>
      <c r="M22" s="119" t="s">
        <v>73</v>
      </c>
      <c r="N22" s="182">
        <v>209.01</v>
      </c>
      <c r="O22" s="117" t="e">
        <f t="shared" si="4"/>
        <v>#REF!</v>
      </c>
      <c r="P22" s="111" t="e">
        <f t="shared" si="2"/>
        <v>#REF!</v>
      </c>
      <c r="Q22" s="120" t="e">
        <f t="shared" si="3"/>
        <v>#REF!</v>
      </c>
      <c r="R22" s="113">
        <v>94962</v>
      </c>
      <c r="U22" s="105">
        <f>3611.02+78.82*2</f>
        <v>3768.66</v>
      </c>
    </row>
    <row r="23" spans="1:21" s="105" customFormat="1" ht="15" customHeight="1">
      <c r="A23" s="101"/>
      <c r="B23" s="107" t="s">
        <v>154</v>
      </c>
      <c r="C23" s="280" t="s">
        <v>127</v>
      </c>
      <c r="D23" s="281"/>
      <c r="E23" s="281"/>
      <c r="F23" s="281"/>
      <c r="G23" s="281"/>
      <c r="H23" s="281"/>
      <c r="I23" s="281"/>
      <c r="J23" s="281"/>
      <c r="K23" s="282"/>
      <c r="L23" s="118">
        <f>L21</f>
        <v>311.81</v>
      </c>
      <c r="M23" s="119" t="s">
        <v>73</v>
      </c>
      <c r="N23" s="182">
        <v>108.12</v>
      </c>
      <c r="O23" s="117" t="e">
        <f t="shared" si="4"/>
        <v>#REF!</v>
      </c>
      <c r="P23" s="111" t="e">
        <f t="shared" si="2"/>
        <v>#REF!</v>
      </c>
      <c r="Q23" s="120" t="e">
        <f t="shared" si="3"/>
        <v>#REF!</v>
      </c>
      <c r="R23" s="113">
        <v>94118</v>
      </c>
      <c r="U23" s="105">
        <f>3115*1.33+(3435.06+149.92*2)*1.4</f>
        <v>9371.81</v>
      </c>
    </row>
    <row r="24" spans="1:21" s="105" customFormat="1" ht="15" customHeight="1">
      <c r="A24" s="101"/>
      <c r="B24" s="107" t="s">
        <v>155</v>
      </c>
      <c r="C24" s="280" t="s">
        <v>183</v>
      </c>
      <c r="D24" s="281"/>
      <c r="E24" s="281"/>
      <c r="F24" s="281"/>
      <c r="G24" s="281"/>
      <c r="H24" s="281"/>
      <c r="I24" s="281"/>
      <c r="J24" s="281"/>
      <c r="K24" s="282"/>
      <c r="L24" s="118">
        <f>L23</f>
        <v>311.81</v>
      </c>
      <c r="M24" s="119" t="s">
        <v>72</v>
      </c>
      <c r="N24" s="182">
        <v>4.33</v>
      </c>
      <c r="O24" s="117" t="e">
        <f t="shared" si="4"/>
        <v>#REF!</v>
      </c>
      <c r="P24" s="111" t="e">
        <f t="shared" si="2"/>
        <v>#REF!</v>
      </c>
      <c r="Q24" s="120" t="e">
        <f t="shared" si="3"/>
        <v>#REF!</v>
      </c>
      <c r="R24" s="113">
        <v>68053</v>
      </c>
      <c r="U24" s="105">
        <f>SUM(U22:U23)</f>
        <v>13140.47</v>
      </c>
    </row>
    <row r="25" spans="1:18" s="105" customFormat="1" ht="15" customHeight="1">
      <c r="A25" s="101"/>
      <c r="B25" s="107" t="s">
        <v>156</v>
      </c>
      <c r="C25" s="280" t="s">
        <v>107</v>
      </c>
      <c r="D25" s="281"/>
      <c r="E25" s="281"/>
      <c r="F25" s="281"/>
      <c r="G25" s="281"/>
      <c r="H25" s="281"/>
      <c r="I25" s="281"/>
      <c r="J25" s="281"/>
      <c r="K25" s="282"/>
      <c r="L25" s="118">
        <f>L17+L19-(L21*7.6)</f>
        <v>649.0180000000005</v>
      </c>
      <c r="M25" s="119" t="s">
        <v>73</v>
      </c>
      <c r="N25" s="182">
        <v>17.69</v>
      </c>
      <c r="O25" s="117" t="e">
        <f t="shared" si="4"/>
        <v>#REF!</v>
      </c>
      <c r="P25" s="111" t="e">
        <f t="shared" si="2"/>
        <v>#REF!</v>
      </c>
      <c r="Q25" s="120" t="e">
        <f t="shared" si="3"/>
        <v>#REF!</v>
      </c>
      <c r="R25" s="113">
        <v>93382</v>
      </c>
    </row>
    <row r="26" spans="1:18" s="105" customFormat="1" ht="24.75" customHeight="1">
      <c r="A26" s="101"/>
      <c r="B26" s="107" t="s">
        <v>157</v>
      </c>
      <c r="C26" s="280" t="s">
        <v>505</v>
      </c>
      <c r="D26" s="281"/>
      <c r="E26" s="281"/>
      <c r="F26" s="281"/>
      <c r="G26" s="281"/>
      <c r="H26" s="281"/>
      <c r="I26" s="281"/>
      <c r="J26" s="281"/>
      <c r="K26" s="282"/>
      <c r="L26" s="118">
        <f>(L17+L19+L14*0.05)*1.3</f>
        <v>3954.13655</v>
      </c>
      <c r="M26" s="119" t="s">
        <v>73</v>
      </c>
      <c r="N26" s="182">
        <v>1.43</v>
      </c>
      <c r="O26" s="117" t="e">
        <f t="shared" si="4"/>
        <v>#REF!</v>
      </c>
      <c r="P26" s="111" t="e">
        <f t="shared" si="2"/>
        <v>#REF!</v>
      </c>
      <c r="Q26" s="120" t="e">
        <f t="shared" si="3"/>
        <v>#REF!</v>
      </c>
      <c r="R26" s="113" t="s">
        <v>133</v>
      </c>
    </row>
    <row r="27" spans="1:18" s="122" customFormat="1" ht="24.75" customHeight="1">
      <c r="A27" s="121"/>
      <c r="B27" s="107" t="s">
        <v>194</v>
      </c>
      <c r="C27" s="280" t="s">
        <v>506</v>
      </c>
      <c r="D27" s="281"/>
      <c r="E27" s="281"/>
      <c r="F27" s="281"/>
      <c r="G27" s="281"/>
      <c r="H27" s="281"/>
      <c r="I27" s="281"/>
      <c r="J27" s="281"/>
      <c r="K27" s="282"/>
      <c r="L27" s="118">
        <f>L26*10</f>
        <v>39541.3655</v>
      </c>
      <c r="M27" s="119" t="s">
        <v>149</v>
      </c>
      <c r="N27" s="182">
        <v>0.79</v>
      </c>
      <c r="O27" s="117" t="e">
        <f t="shared" si="4"/>
        <v>#REF!</v>
      </c>
      <c r="P27" s="111" t="e">
        <f t="shared" si="2"/>
        <v>#REF!</v>
      </c>
      <c r="Q27" s="120" t="e">
        <f t="shared" si="3"/>
        <v>#REF!</v>
      </c>
      <c r="R27" s="113">
        <v>95303</v>
      </c>
    </row>
    <row r="28" spans="1:18" s="105" customFormat="1" ht="24.75" customHeight="1">
      <c r="A28" s="123"/>
      <c r="B28" s="107" t="s">
        <v>195</v>
      </c>
      <c r="C28" s="280" t="s">
        <v>507</v>
      </c>
      <c r="D28" s="281"/>
      <c r="E28" s="281"/>
      <c r="F28" s="281"/>
      <c r="G28" s="281"/>
      <c r="H28" s="281"/>
      <c r="I28" s="281"/>
      <c r="J28" s="281"/>
      <c r="K28" s="282"/>
      <c r="L28" s="118">
        <f>L25*1.3</f>
        <v>843.7234000000007</v>
      </c>
      <c r="M28" s="119" t="s">
        <v>73</v>
      </c>
      <c r="N28" s="182">
        <v>1.43</v>
      </c>
      <c r="O28" s="117" t="e">
        <f t="shared" si="4"/>
        <v>#REF!</v>
      </c>
      <c r="P28" s="111" t="e">
        <f t="shared" si="2"/>
        <v>#REF!</v>
      </c>
      <c r="Q28" s="120" t="e">
        <f t="shared" si="3"/>
        <v>#REF!</v>
      </c>
      <c r="R28" s="113" t="s">
        <v>133</v>
      </c>
    </row>
    <row r="29" spans="1:18" s="122" customFormat="1" ht="24.75" customHeight="1">
      <c r="A29" s="121"/>
      <c r="B29" s="107" t="s">
        <v>196</v>
      </c>
      <c r="C29" s="280" t="s">
        <v>181</v>
      </c>
      <c r="D29" s="281"/>
      <c r="E29" s="281"/>
      <c r="F29" s="281"/>
      <c r="G29" s="281"/>
      <c r="H29" s="281"/>
      <c r="I29" s="281"/>
      <c r="J29" s="281"/>
      <c r="K29" s="282"/>
      <c r="L29" s="118">
        <f>L28*2.5</f>
        <v>2109.3085000000015</v>
      </c>
      <c r="M29" s="119" t="s">
        <v>149</v>
      </c>
      <c r="N29" s="182">
        <v>0.79</v>
      </c>
      <c r="O29" s="117" t="e">
        <f t="shared" si="4"/>
        <v>#REF!</v>
      </c>
      <c r="P29" s="111" t="e">
        <f t="shared" si="2"/>
        <v>#REF!</v>
      </c>
      <c r="Q29" s="120" t="e">
        <f t="shared" si="3"/>
        <v>#REF!</v>
      </c>
      <c r="R29" s="113">
        <v>95303</v>
      </c>
    </row>
    <row r="30" spans="1:18" s="122" customFormat="1" ht="24.75" customHeight="1">
      <c r="A30" s="121"/>
      <c r="B30" s="107" t="s">
        <v>197</v>
      </c>
      <c r="C30" s="280" t="s">
        <v>595</v>
      </c>
      <c r="D30" s="281"/>
      <c r="E30" s="281"/>
      <c r="F30" s="281"/>
      <c r="G30" s="281"/>
      <c r="H30" s="281"/>
      <c r="I30" s="281"/>
      <c r="J30" s="281"/>
      <c r="K30" s="282"/>
      <c r="L30" s="118">
        <f>24*30</f>
        <v>720</v>
      </c>
      <c r="M30" s="119" t="s">
        <v>134</v>
      </c>
      <c r="N30" s="182">
        <v>2.7</v>
      </c>
      <c r="O30" s="117" t="e">
        <f t="shared" si="4"/>
        <v>#REF!</v>
      </c>
      <c r="P30" s="111" t="e">
        <f t="shared" si="2"/>
        <v>#REF!</v>
      </c>
      <c r="Q30" s="120" t="e">
        <f t="shared" si="3"/>
        <v>#REF!</v>
      </c>
      <c r="R30" s="113">
        <v>1383</v>
      </c>
    </row>
    <row r="31" spans="1:18" s="122" customFormat="1" ht="15" customHeight="1">
      <c r="A31" s="121"/>
      <c r="B31" s="107" t="s">
        <v>198</v>
      </c>
      <c r="C31" s="280" t="s">
        <v>186</v>
      </c>
      <c r="D31" s="281"/>
      <c r="E31" s="281"/>
      <c r="F31" s="281"/>
      <c r="G31" s="281"/>
      <c r="H31" s="281"/>
      <c r="I31" s="281"/>
      <c r="J31" s="281"/>
      <c r="K31" s="282"/>
      <c r="L31" s="108">
        <f>108.19+26.41+5.03</f>
        <v>139.63</v>
      </c>
      <c r="M31" s="167" t="s">
        <v>73</v>
      </c>
      <c r="N31" s="40">
        <v>264.39</v>
      </c>
      <c r="O31" s="117" t="e">
        <f t="shared" si="4"/>
        <v>#REF!</v>
      </c>
      <c r="P31" s="111" t="e">
        <f t="shared" si="2"/>
        <v>#REF!</v>
      </c>
      <c r="Q31" s="112" t="e">
        <f t="shared" si="3"/>
        <v>#REF!</v>
      </c>
      <c r="R31" s="113">
        <v>94971</v>
      </c>
    </row>
    <row r="32" spans="1:18" s="122" customFormat="1" ht="15" customHeight="1">
      <c r="A32" s="121"/>
      <c r="B32" s="107" t="s">
        <v>199</v>
      </c>
      <c r="C32" s="280" t="s">
        <v>187</v>
      </c>
      <c r="D32" s="281"/>
      <c r="E32" s="281"/>
      <c r="F32" s="281"/>
      <c r="G32" s="281"/>
      <c r="H32" s="281"/>
      <c r="I32" s="281"/>
      <c r="J32" s="281"/>
      <c r="K32" s="282"/>
      <c r="L32" s="108">
        <f>L31</f>
        <v>139.63</v>
      </c>
      <c r="M32" s="109" t="s">
        <v>73</v>
      </c>
      <c r="N32" s="40">
        <v>79.75</v>
      </c>
      <c r="O32" s="117" t="e">
        <f t="shared" si="4"/>
        <v>#REF!</v>
      </c>
      <c r="P32" s="111" t="e">
        <f t="shared" si="2"/>
        <v>#REF!</v>
      </c>
      <c r="Q32" s="112" t="e">
        <f t="shared" si="3"/>
        <v>#REF!</v>
      </c>
      <c r="R32" s="113" t="s">
        <v>144</v>
      </c>
    </row>
    <row r="33" spans="1:19" s="122" customFormat="1" ht="15" customHeight="1">
      <c r="A33" s="121"/>
      <c r="B33" s="107" t="s">
        <v>200</v>
      </c>
      <c r="C33" s="280" t="s">
        <v>193</v>
      </c>
      <c r="D33" s="281"/>
      <c r="E33" s="281"/>
      <c r="F33" s="281"/>
      <c r="G33" s="281"/>
      <c r="H33" s="281"/>
      <c r="I33" s="281"/>
      <c r="J33" s="281"/>
      <c r="K33" s="282"/>
      <c r="L33" s="108">
        <f>879.07+316.92+35.25</f>
        <v>1231.24</v>
      </c>
      <c r="M33" s="109" t="s">
        <v>72</v>
      </c>
      <c r="N33" s="40">
        <v>31.68</v>
      </c>
      <c r="O33" s="117" t="e">
        <f t="shared" si="4"/>
        <v>#REF!</v>
      </c>
      <c r="P33" s="111" t="e">
        <f t="shared" si="2"/>
        <v>#REF!</v>
      </c>
      <c r="Q33" s="112" t="e">
        <f t="shared" si="3"/>
        <v>#REF!</v>
      </c>
      <c r="R33" s="113">
        <v>5651</v>
      </c>
      <c r="S33" s="122">
        <f>879.07+316.92+35.25</f>
        <v>1231.24</v>
      </c>
    </row>
    <row r="34" spans="1:18" s="105" customFormat="1" ht="15" customHeight="1">
      <c r="A34" s="101"/>
      <c r="B34" s="107" t="s">
        <v>336</v>
      </c>
      <c r="C34" s="278" t="s">
        <v>769</v>
      </c>
      <c r="D34" s="278"/>
      <c r="E34" s="278"/>
      <c r="F34" s="278"/>
      <c r="G34" s="278"/>
      <c r="H34" s="278"/>
      <c r="I34" s="278"/>
      <c r="J34" s="278"/>
      <c r="K34" s="278"/>
      <c r="L34" s="108">
        <f>117.3+719.7+66.8+129+151.7+136.2+210</f>
        <v>1530.7</v>
      </c>
      <c r="M34" s="109" t="s">
        <v>140</v>
      </c>
      <c r="N34" s="40">
        <v>6.84</v>
      </c>
      <c r="O34" s="117" t="e">
        <f t="shared" si="4"/>
        <v>#REF!</v>
      </c>
      <c r="P34" s="111" t="e">
        <f t="shared" si="2"/>
        <v>#REF!</v>
      </c>
      <c r="Q34" s="112" t="e">
        <f t="shared" si="3"/>
        <v>#REF!</v>
      </c>
      <c r="R34" s="113">
        <v>92792</v>
      </c>
    </row>
    <row r="35" spans="1:18" s="105" customFormat="1" ht="15" customHeight="1">
      <c r="A35" s="101"/>
      <c r="B35" s="107" t="s">
        <v>201</v>
      </c>
      <c r="C35" s="278" t="s">
        <v>770</v>
      </c>
      <c r="D35" s="278"/>
      <c r="E35" s="278"/>
      <c r="F35" s="278"/>
      <c r="G35" s="278"/>
      <c r="H35" s="278"/>
      <c r="I35" s="278"/>
      <c r="J35" s="278"/>
      <c r="K35" s="278"/>
      <c r="L35" s="108">
        <f>123.2+192.7+838.6+29.6+313.7+308+144.4</f>
        <v>1950.2</v>
      </c>
      <c r="M35" s="109" t="s">
        <v>140</v>
      </c>
      <c r="N35" s="40">
        <v>7</v>
      </c>
      <c r="O35" s="117" t="e">
        <f t="shared" si="4"/>
        <v>#REF!</v>
      </c>
      <c r="P35" s="111" t="e">
        <f t="shared" si="2"/>
        <v>#REF!</v>
      </c>
      <c r="Q35" s="112" t="e">
        <f t="shared" si="3"/>
        <v>#REF!</v>
      </c>
      <c r="R35" s="113">
        <v>92793</v>
      </c>
    </row>
    <row r="36" spans="1:18" s="105" customFormat="1" ht="15" customHeight="1">
      <c r="A36" s="101"/>
      <c r="B36" s="107" t="s">
        <v>202</v>
      </c>
      <c r="C36" s="278" t="s">
        <v>771</v>
      </c>
      <c r="D36" s="278"/>
      <c r="E36" s="278"/>
      <c r="F36" s="278"/>
      <c r="G36" s="278"/>
      <c r="H36" s="278"/>
      <c r="I36" s="278"/>
      <c r="J36" s="278"/>
      <c r="K36" s="278"/>
      <c r="L36" s="108">
        <f>441.1+4060.8+1725+1232.7+1388.8+1377+3257.1</f>
        <v>13482.5</v>
      </c>
      <c r="M36" s="109" t="s">
        <v>140</v>
      </c>
      <c r="N36" s="40">
        <v>5.76</v>
      </c>
      <c r="O36" s="117" t="e">
        <f t="shared" si="4"/>
        <v>#REF!</v>
      </c>
      <c r="P36" s="111" t="e">
        <f t="shared" si="2"/>
        <v>#REF!</v>
      </c>
      <c r="Q36" s="112" t="e">
        <f t="shared" si="3"/>
        <v>#REF!</v>
      </c>
      <c r="R36" s="113">
        <v>92794</v>
      </c>
    </row>
    <row r="37" spans="1:18" s="105" customFormat="1" ht="15" customHeight="1">
      <c r="A37" s="101"/>
      <c r="B37" s="107" t="s">
        <v>203</v>
      </c>
      <c r="C37" s="278" t="s">
        <v>772</v>
      </c>
      <c r="D37" s="278"/>
      <c r="E37" s="278"/>
      <c r="F37" s="278"/>
      <c r="G37" s="278"/>
      <c r="H37" s="278"/>
      <c r="I37" s="278"/>
      <c r="J37" s="278"/>
      <c r="K37" s="278"/>
      <c r="L37" s="108">
        <f>7439.3+18620.5+1276.1+5672.8+1943.2+325.8+390</f>
        <v>35667.7</v>
      </c>
      <c r="M37" s="109" t="s">
        <v>140</v>
      </c>
      <c r="N37" s="40">
        <v>4.86</v>
      </c>
      <c r="O37" s="117" t="e">
        <f t="shared" si="4"/>
        <v>#REF!</v>
      </c>
      <c r="P37" s="111" t="e">
        <f t="shared" si="2"/>
        <v>#REF!</v>
      </c>
      <c r="Q37" s="112" t="e">
        <f t="shared" si="3"/>
        <v>#REF!</v>
      </c>
      <c r="R37" s="113">
        <v>92795</v>
      </c>
    </row>
    <row r="38" spans="1:18" s="105" customFormat="1" ht="15" customHeight="1">
      <c r="A38" s="101"/>
      <c r="B38" s="107" t="s">
        <v>204</v>
      </c>
      <c r="C38" s="278" t="s">
        <v>786</v>
      </c>
      <c r="D38" s="278"/>
      <c r="E38" s="278"/>
      <c r="F38" s="278"/>
      <c r="G38" s="278"/>
      <c r="H38" s="278"/>
      <c r="I38" s="278"/>
      <c r="J38" s="278"/>
      <c r="K38" s="278"/>
      <c r="L38" s="108">
        <f>4323.9</f>
        <v>4323.9</v>
      </c>
      <c r="M38" s="109" t="s">
        <v>140</v>
      </c>
      <c r="N38" s="40">
        <v>3.86</v>
      </c>
      <c r="O38" s="117" t="e">
        <f t="shared" si="4"/>
        <v>#REF!</v>
      </c>
      <c r="P38" s="111" t="e">
        <f>ROUND(N38*O38,2)</f>
        <v>#REF!</v>
      </c>
      <c r="Q38" s="112" t="e">
        <f>ROUND(L38*P38,2)</f>
        <v>#REF!</v>
      </c>
      <c r="R38" s="113">
        <v>92796</v>
      </c>
    </row>
    <row r="39" spans="1:18" s="105" customFormat="1" ht="15" customHeight="1">
      <c r="A39" s="101"/>
      <c r="B39" s="107" t="s">
        <v>205</v>
      </c>
      <c r="C39" s="278" t="s">
        <v>774</v>
      </c>
      <c r="D39" s="278"/>
      <c r="E39" s="278"/>
      <c r="F39" s="278"/>
      <c r="G39" s="278"/>
      <c r="H39" s="278"/>
      <c r="I39" s="278"/>
      <c r="J39" s="278"/>
      <c r="K39" s="278"/>
      <c r="L39" s="108">
        <f>28.2</f>
        <v>28.2</v>
      </c>
      <c r="M39" s="109" t="s">
        <v>140</v>
      </c>
      <c r="N39" s="40">
        <v>5.18</v>
      </c>
      <c r="O39" s="117" t="e">
        <f t="shared" si="4"/>
        <v>#REF!</v>
      </c>
      <c r="P39" s="111" t="e">
        <f t="shared" si="2"/>
        <v>#REF!</v>
      </c>
      <c r="Q39" s="112" t="e">
        <f t="shared" si="3"/>
        <v>#REF!</v>
      </c>
      <c r="R39" s="113">
        <v>92800</v>
      </c>
    </row>
    <row r="40" spans="1:18" s="105" customFormat="1" ht="15" customHeight="1">
      <c r="A40" s="101"/>
      <c r="B40" s="107" t="s">
        <v>788</v>
      </c>
      <c r="C40" s="278" t="s">
        <v>775</v>
      </c>
      <c r="D40" s="278"/>
      <c r="E40" s="278"/>
      <c r="F40" s="278"/>
      <c r="G40" s="278"/>
      <c r="H40" s="278"/>
      <c r="I40" s="278"/>
      <c r="J40" s="278"/>
      <c r="K40" s="278"/>
      <c r="L40" s="108">
        <f>3.1+16.4</f>
        <v>19.5</v>
      </c>
      <c r="M40" s="109" t="s">
        <v>140</v>
      </c>
      <c r="N40" s="40">
        <v>4.91</v>
      </c>
      <c r="O40" s="117" t="e">
        <f t="shared" si="4"/>
        <v>#REF!</v>
      </c>
      <c r="P40" s="111" t="e">
        <f t="shared" si="2"/>
        <v>#REF!</v>
      </c>
      <c r="Q40" s="112" t="e">
        <f t="shared" si="3"/>
        <v>#REF!</v>
      </c>
      <c r="R40" s="113">
        <v>92801</v>
      </c>
    </row>
    <row r="41" spans="1:18" s="105" customFormat="1" ht="15" customHeight="1">
      <c r="A41" s="101"/>
      <c r="B41" s="107" t="s">
        <v>789</v>
      </c>
      <c r="C41" s="278" t="s">
        <v>776</v>
      </c>
      <c r="D41" s="278"/>
      <c r="E41" s="278"/>
      <c r="F41" s="278"/>
      <c r="G41" s="278"/>
      <c r="H41" s="278"/>
      <c r="I41" s="278"/>
      <c r="J41" s="278"/>
      <c r="K41" s="278"/>
      <c r="L41" s="108">
        <f>22.4+24.5+60.7</f>
        <v>107.6</v>
      </c>
      <c r="M41" s="109" t="s">
        <v>140</v>
      </c>
      <c r="N41" s="40">
        <v>5.17</v>
      </c>
      <c r="O41" s="117" t="e">
        <f t="shared" si="4"/>
        <v>#REF!</v>
      </c>
      <c r="P41" s="111" t="e">
        <f t="shared" si="2"/>
        <v>#REF!</v>
      </c>
      <c r="Q41" s="112" t="e">
        <f t="shared" si="3"/>
        <v>#REF!</v>
      </c>
      <c r="R41" s="113">
        <v>92802</v>
      </c>
    </row>
    <row r="42" spans="1:18" s="105" customFormat="1" ht="15" customHeight="1">
      <c r="A42" s="101"/>
      <c r="B42" s="107" t="s">
        <v>206</v>
      </c>
      <c r="C42" s="278" t="s">
        <v>778</v>
      </c>
      <c r="D42" s="278"/>
      <c r="E42" s="278"/>
      <c r="F42" s="278"/>
      <c r="G42" s="278"/>
      <c r="H42" s="278"/>
      <c r="I42" s="278"/>
      <c r="J42" s="278"/>
      <c r="K42" s="278"/>
      <c r="L42" s="108">
        <f>1814.4+996.4+164</f>
        <v>2974.8</v>
      </c>
      <c r="M42" s="109" t="s">
        <v>140</v>
      </c>
      <c r="N42" s="40">
        <v>4.22</v>
      </c>
      <c r="O42" s="117" t="e">
        <f t="shared" si="4"/>
        <v>#REF!</v>
      </c>
      <c r="P42" s="111" t="e">
        <f t="shared" si="2"/>
        <v>#REF!</v>
      </c>
      <c r="Q42" s="112" t="e">
        <f t="shared" si="3"/>
        <v>#REF!</v>
      </c>
      <c r="R42" s="113">
        <v>92803</v>
      </c>
    </row>
    <row r="43" spans="1:18" s="105" customFormat="1" ht="15" customHeight="1">
      <c r="A43" s="101"/>
      <c r="B43" s="107" t="s">
        <v>207</v>
      </c>
      <c r="C43" s="278" t="s">
        <v>777</v>
      </c>
      <c r="D43" s="278"/>
      <c r="E43" s="278"/>
      <c r="F43" s="278"/>
      <c r="G43" s="278"/>
      <c r="H43" s="278"/>
      <c r="I43" s="278"/>
      <c r="J43" s="278"/>
      <c r="K43" s="278"/>
      <c r="L43" s="108">
        <f>2188.1+1508.8+2844.7+73.7</f>
        <v>6615.299999999999</v>
      </c>
      <c r="M43" s="109" t="s">
        <v>140</v>
      </c>
      <c r="N43" s="40">
        <v>3.81</v>
      </c>
      <c r="O43" s="117" t="e">
        <f t="shared" si="4"/>
        <v>#REF!</v>
      </c>
      <c r="P43" s="111" t="e">
        <f t="shared" si="2"/>
        <v>#REF!</v>
      </c>
      <c r="Q43" s="112" t="e">
        <f t="shared" si="3"/>
        <v>#REF!</v>
      </c>
      <c r="R43" s="113">
        <v>92804</v>
      </c>
    </row>
    <row r="44" spans="1:18" s="105" customFormat="1" ht="15" customHeight="1">
      <c r="A44" s="101"/>
      <c r="B44" s="107" t="s">
        <v>208</v>
      </c>
      <c r="C44" s="278" t="s">
        <v>787</v>
      </c>
      <c r="D44" s="278"/>
      <c r="E44" s="278"/>
      <c r="F44" s="278"/>
      <c r="G44" s="278"/>
      <c r="H44" s="278"/>
      <c r="I44" s="278"/>
      <c r="J44" s="278"/>
      <c r="K44" s="278"/>
      <c r="L44" s="108">
        <f>108.8</f>
        <v>108.8</v>
      </c>
      <c r="M44" s="109" t="s">
        <v>140</v>
      </c>
      <c r="N44" s="40">
        <v>3.53</v>
      </c>
      <c r="O44" s="117" t="e">
        <f t="shared" si="4"/>
        <v>#REF!</v>
      </c>
      <c r="P44" s="111" t="e">
        <f>ROUND(N44*O44,2)</f>
        <v>#REF!</v>
      </c>
      <c r="Q44" s="112" t="e">
        <f>ROUND(L44*P44,2)</f>
        <v>#REF!</v>
      </c>
      <c r="R44" s="113">
        <v>92806</v>
      </c>
    </row>
    <row r="45" spans="1:18" s="122" customFormat="1" ht="15" customHeight="1">
      <c r="A45" s="121"/>
      <c r="B45" s="107" t="s">
        <v>209</v>
      </c>
      <c r="C45" s="280" t="s">
        <v>236</v>
      </c>
      <c r="D45" s="281"/>
      <c r="E45" s="281"/>
      <c r="F45" s="281"/>
      <c r="G45" s="281"/>
      <c r="H45" s="281"/>
      <c r="I45" s="281"/>
      <c r="J45" s="281"/>
      <c r="K45" s="282"/>
      <c r="L45" s="108">
        <f>(93.23+31.45+184.11+65.34+5.01)*0.1</f>
        <v>37.914</v>
      </c>
      <c r="M45" s="109" t="s">
        <v>73</v>
      </c>
      <c r="N45" s="40">
        <v>126.27</v>
      </c>
      <c r="O45" s="117" t="e">
        <f t="shared" si="4"/>
        <v>#REF!</v>
      </c>
      <c r="P45" s="111" t="e">
        <f t="shared" si="2"/>
        <v>#REF!</v>
      </c>
      <c r="Q45" s="112" t="e">
        <f t="shared" si="3"/>
        <v>#REF!</v>
      </c>
      <c r="R45" s="113">
        <v>73697</v>
      </c>
    </row>
    <row r="46" spans="1:18" s="105" customFormat="1" ht="15" customHeight="1">
      <c r="A46" s="101"/>
      <c r="B46" s="107" t="s">
        <v>210</v>
      </c>
      <c r="C46" s="280" t="s">
        <v>188</v>
      </c>
      <c r="D46" s="281"/>
      <c r="E46" s="281"/>
      <c r="F46" s="281"/>
      <c r="G46" s="281"/>
      <c r="H46" s="281"/>
      <c r="I46" s="281"/>
      <c r="J46" s="281"/>
      <c r="K46" s="282"/>
      <c r="L46" s="108">
        <v>551.94</v>
      </c>
      <c r="M46" s="109" t="s">
        <v>72</v>
      </c>
      <c r="N46" s="40">
        <v>9.24</v>
      </c>
      <c r="O46" s="117" t="e">
        <f t="shared" si="4"/>
        <v>#REF!</v>
      </c>
      <c r="P46" s="111" t="e">
        <f t="shared" si="2"/>
        <v>#REF!</v>
      </c>
      <c r="Q46" s="112" t="e">
        <f t="shared" si="3"/>
        <v>#REF!</v>
      </c>
      <c r="R46" s="113" t="s">
        <v>121</v>
      </c>
    </row>
    <row r="47" spans="1:18" s="105" customFormat="1" ht="40.5" customHeight="1">
      <c r="A47" s="101"/>
      <c r="B47" s="107" t="s">
        <v>337</v>
      </c>
      <c r="C47" s="285" t="s">
        <v>189</v>
      </c>
      <c r="D47" s="281"/>
      <c r="E47" s="281"/>
      <c r="F47" s="281"/>
      <c r="G47" s="281"/>
      <c r="H47" s="281"/>
      <c r="I47" s="281"/>
      <c r="J47" s="281"/>
      <c r="K47" s="282"/>
      <c r="L47" s="108">
        <v>4</v>
      </c>
      <c r="M47" s="109" t="s">
        <v>111</v>
      </c>
      <c r="N47" s="40" t="e">
        <f>#REF!</f>
        <v>#REF!</v>
      </c>
      <c r="O47" s="117" t="e">
        <f>(1+$N$3)</f>
        <v>#REF!</v>
      </c>
      <c r="P47" s="111" t="e">
        <f aca="true" t="shared" si="5" ref="P47:P108">ROUND(N47*O47,2)</f>
        <v>#REF!</v>
      </c>
      <c r="Q47" s="112" t="e">
        <f t="shared" si="3"/>
        <v>#REF!</v>
      </c>
      <c r="R47" s="113" t="e">
        <f>#REF!</f>
        <v>#REF!</v>
      </c>
    </row>
    <row r="48" spans="1:18" s="105" customFormat="1" ht="24.75" customHeight="1">
      <c r="A48" s="101"/>
      <c r="B48" s="107" t="s">
        <v>338</v>
      </c>
      <c r="C48" s="289" t="s">
        <v>490</v>
      </c>
      <c r="D48" s="290"/>
      <c r="E48" s="290"/>
      <c r="F48" s="290"/>
      <c r="G48" s="290"/>
      <c r="H48" s="290"/>
      <c r="I48" s="290"/>
      <c r="J48" s="290"/>
      <c r="K48" s="291"/>
      <c r="L48" s="108">
        <v>1</v>
      </c>
      <c r="M48" s="109" t="s">
        <v>111</v>
      </c>
      <c r="N48" s="40">
        <f>1820*20.57</f>
        <v>37437.4</v>
      </c>
      <c r="O48" s="117" t="e">
        <f>(1+$N$3)</f>
        <v>#REF!</v>
      </c>
      <c r="P48" s="111" t="e">
        <f t="shared" si="5"/>
        <v>#REF!</v>
      </c>
      <c r="Q48" s="112" t="e">
        <f t="shared" si="3"/>
        <v>#REF!</v>
      </c>
      <c r="R48" s="113" t="s">
        <v>489</v>
      </c>
    </row>
    <row r="49" spans="1:18" s="105" customFormat="1" ht="24.75" customHeight="1">
      <c r="A49" s="101"/>
      <c r="B49" s="107" t="s">
        <v>339</v>
      </c>
      <c r="C49" s="289" t="s">
        <v>495</v>
      </c>
      <c r="D49" s="290"/>
      <c r="E49" s="290"/>
      <c r="F49" s="290"/>
      <c r="G49" s="290"/>
      <c r="H49" s="290"/>
      <c r="I49" s="290"/>
      <c r="J49" s="290"/>
      <c r="K49" s="291"/>
      <c r="L49" s="108">
        <v>1</v>
      </c>
      <c r="M49" s="109" t="s">
        <v>111</v>
      </c>
      <c r="N49" s="40">
        <f>530*20.57</f>
        <v>10902.1</v>
      </c>
      <c r="O49" s="117" t="e">
        <f>(1+$N$3)</f>
        <v>#REF!</v>
      </c>
      <c r="P49" s="111" t="e">
        <f t="shared" si="5"/>
        <v>#REF!</v>
      </c>
      <c r="Q49" s="112" t="e">
        <f t="shared" si="3"/>
        <v>#REF!</v>
      </c>
      <c r="R49" s="113" t="s">
        <v>489</v>
      </c>
    </row>
    <row r="50" spans="1:18" s="105" customFormat="1" ht="15" customHeight="1">
      <c r="A50" s="101"/>
      <c r="B50" s="107" t="s">
        <v>790</v>
      </c>
      <c r="C50" s="285" t="s">
        <v>264</v>
      </c>
      <c r="D50" s="281"/>
      <c r="E50" s="281"/>
      <c r="F50" s="281"/>
      <c r="G50" s="281"/>
      <c r="H50" s="281"/>
      <c r="I50" s="281"/>
      <c r="J50" s="281"/>
      <c r="K50" s="282"/>
      <c r="L50" s="108">
        <v>1</v>
      </c>
      <c r="M50" s="109" t="s">
        <v>111</v>
      </c>
      <c r="N50" s="40">
        <v>300</v>
      </c>
      <c r="O50" s="117" t="e">
        <f>(1+$N$3)</f>
        <v>#REF!</v>
      </c>
      <c r="P50" s="111" t="e">
        <f t="shared" si="5"/>
        <v>#REF!</v>
      </c>
      <c r="Q50" s="112" t="e">
        <f t="shared" si="3"/>
        <v>#REF!</v>
      </c>
      <c r="R50" s="113" t="s">
        <v>250</v>
      </c>
    </row>
    <row r="51" spans="1:18" s="105" customFormat="1" ht="15" customHeight="1">
      <c r="A51" s="101"/>
      <c r="B51" s="107" t="s">
        <v>791</v>
      </c>
      <c r="C51" s="280" t="s">
        <v>785</v>
      </c>
      <c r="D51" s="281"/>
      <c r="E51" s="281"/>
      <c r="F51" s="281"/>
      <c r="G51" s="281"/>
      <c r="H51" s="281"/>
      <c r="I51" s="281"/>
      <c r="J51" s="281"/>
      <c r="K51" s="282"/>
      <c r="L51" s="108">
        <v>1</v>
      </c>
      <c r="M51" s="109" t="s">
        <v>111</v>
      </c>
      <c r="N51" s="40" t="e">
        <f>#REF!</f>
        <v>#REF!</v>
      </c>
      <c r="O51" s="117" t="e">
        <f aca="true" t="shared" si="6" ref="O51:O83">(1+$N$3)</f>
        <v>#REF!</v>
      </c>
      <c r="P51" s="111" t="e">
        <f t="shared" si="5"/>
        <v>#REF!</v>
      </c>
      <c r="Q51" s="112" t="e">
        <f t="shared" si="3"/>
        <v>#REF!</v>
      </c>
      <c r="R51" s="113" t="e">
        <f>#REF!</f>
        <v>#REF!</v>
      </c>
    </row>
    <row r="52" spans="1:18" s="105" customFormat="1" ht="15" customHeight="1">
      <c r="A52" s="101"/>
      <c r="B52" s="107" t="s">
        <v>792</v>
      </c>
      <c r="C52" s="280" t="s">
        <v>461</v>
      </c>
      <c r="D52" s="281"/>
      <c r="E52" s="281"/>
      <c r="F52" s="281"/>
      <c r="G52" s="281"/>
      <c r="H52" s="281"/>
      <c r="I52" s="281"/>
      <c r="J52" s="281"/>
      <c r="K52" s="282"/>
      <c r="L52" s="108">
        <f>348*L51</f>
        <v>348</v>
      </c>
      <c r="M52" s="109" t="s">
        <v>140</v>
      </c>
      <c r="N52" s="40">
        <v>0.79</v>
      </c>
      <c r="O52" s="117" t="e">
        <f>(1+$Q$3)</f>
        <v>#REF!</v>
      </c>
      <c r="P52" s="111" t="e">
        <f t="shared" si="5"/>
        <v>#REF!</v>
      </c>
      <c r="Q52" s="112" t="e">
        <f t="shared" si="3"/>
        <v>#REF!</v>
      </c>
      <c r="R52" s="113">
        <v>83725</v>
      </c>
    </row>
    <row r="53" spans="1:18" s="105" customFormat="1" ht="15" customHeight="1">
      <c r="A53" s="101"/>
      <c r="B53" s="107" t="s">
        <v>793</v>
      </c>
      <c r="C53" s="285" t="s">
        <v>689</v>
      </c>
      <c r="D53" s="281"/>
      <c r="E53" s="281"/>
      <c r="F53" s="281"/>
      <c r="G53" s="281"/>
      <c r="H53" s="281"/>
      <c r="I53" s="281"/>
      <c r="J53" s="281"/>
      <c r="K53" s="282"/>
      <c r="L53" s="108">
        <v>1</v>
      </c>
      <c r="M53" s="109" t="s">
        <v>111</v>
      </c>
      <c r="N53" s="40" t="e">
        <f>#REF!</f>
        <v>#REF!</v>
      </c>
      <c r="O53" s="117" t="e">
        <f t="shared" si="6"/>
        <v>#REF!</v>
      </c>
      <c r="P53" s="111" t="e">
        <f>ROUND(N53*O53,2)</f>
        <v>#REF!</v>
      </c>
      <c r="Q53" s="112" t="e">
        <f>ROUND(L53*P53,2)</f>
        <v>#REF!</v>
      </c>
      <c r="R53" s="113" t="e">
        <f>#REF!</f>
        <v>#REF!</v>
      </c>
    </row>
    <row r="54" spans="1:18" s="105" customFormat="1" ht="15" customHeight="1">
      <c r="A54" s="101"/>
      <c r="B54" s="107" t="s">
        <v>794</v>
      </c>
      <c r="C54" s="280" t="s">
        <v>461</v>
      </c>
      <c r="D54" s="281"/>
      <c r="E54" s="281"/>
      <c r="F54" s="281"/>
      <c r="G54" s="281"/>
      <c r="H54" s="281"/>
      <c r="I54" s="281"/>
      <c r="J54" s="281"/>
      <c r="K54" s="282"/>
      <c r="L54" s="108">
        <f>20*L53</f>
        <v>20</v>
      </c>
      <c r="M54" s="109" t="s">
        <v>140</v>
      </c>
      <c r="N54" s="40">
        <v>1.29</v>
      </c>
      <c r="O54" s="117" t="e">
        <f>(1+$Q$3)</f>
        <v>#REF!</v>
      </c>
      <c r="P54" s="111" t="e">
        <f>ROUND(N54*O54,2)</f>
        <v>#REF!</v>
      </c>
      <c r="Q54" s="112" t="e">
        <f>ROUND(L54*P54,2)</f>
        <v>#REF!</v>
      </c>
      <c r="R54" s="113">
        <v>83724</v>
      </c>
    </row>
    <row r="55" spans="1:18" s="105" customFormat="1" ht="15" customHeight="1">
      <c r="A55" s="101"/>
      <c r="B55" s="107" t="s">
        <v>795</v>
      </c>
      <c r="C55" s="285" t="s">
        <v>690</v>
      </c>
      <c r="D55" s="281"/>
      <c r="E55" s="281"/>
      <c r="F55" s="281"/>
      <c r="G55" s="281"/>
      <c r="H55" s="281"/>
      <c r="I55" s="281"/>
      <c r="J55" s="281"/>
      <c r="K55" s="282"/>
      <c r="L55" s="108">
        <v>3</v>
      </c>
      <c r="M55" s="109" t="s">
        <v>111</v>
      </c>
      <c r="N55" s="40" t="e">
        <f>#REF!</f>
        <v>#REF!</v>
      </c>
      <c r="O55" s="117" t="e">
        <f t="shared" si="6"/>
        <v>#REF!</v>
      </c>
      <c r="P55" s="111" t="e">
        <f t="shared" si="5"/>
        <v>#REF!</v>
      </c>
      <c r="Q55" s="112" t="e">
        <f t="shared" si="3"/>
        <v>#REF!</v>
      </c>
      <c r="R55" s="113" t="e">
        <f>#REF!</f>
        <v>#REF!</v>
      </c>
    </row>
    <row r="56" spans="1:18" s="105" customFormat="1" ht="15" customHeight="1">
      <c r="A56" s="101"/>
      <c r="B56" s="107" t="s">
        <v>229</v>
      </c>
      <c r="C56" s="280" t="s">
        <v>461</v>
      </c>
      <c r="D56" s="281"/>
      <c r="E56" s="281"/>
      <c r="F56" s="281"/>
      <c r="G56" s="281"/>
      <c r="H56" s="281"/>
      <c r="I56" s="281"/>
      <c r="J56" s="281"/>
      <c r="K56" s="282"/>
      <c r="L56" s="108">
        <f>220*L55</f>
        <v>660</v>
      </c>
      <c r="M56" s="109" t="s">
        <v>140</v>
      </c>
      <c r="N56" s="40">
        <v>0.79</v>
      </c>
      <c r="O56" s="117" t="e">
        <f>(1+$Q$3)</f>
        <v>#REF!</v>
      </c>
      <c r="P56" s="111" t="e">
        <f t="shared" si="5"/>
        <v>#REF!</v>
      </c>
      <c r="Q56" s="112" t="e">
        <f t="shared" si="3"/>
        <v>#REF!</v>
      </c>
      <c r="R56" s="113">
        <v>83725</v>
      </c>
    </row>
    <row r="57" spans="1:18" s="105" customFormat="1" ht="15" customHeight="1">
      <c r="A57" s="101"/>
      <c r="B57" s="107" t="s">
        <v>230</v>
      </c>
      <c r="C57" s="285" t="s">
        <v>691</v>
      </c>
      <c r="D57" s="281"/>
      <c r="E57" s="281"/>
      <c r="F57" s="281"/>
      <c r="G57" s="281"/>
      <c r="H57" s="281"/>
      <c r="I57" s="281"/>
      <c r="J57" s="281"/>
      <c r="K57" s="282"/>
      <c r="L57" s="108">
        <v>1</v>
      </c>
      <c r="M57" s="109" t="s">
        <v>111</v>
      </c>
      <c r="N57" s="40" t="e">
        <f>#REF!</f>
        <v>#REF!</v>
      </c>
      <c r="O57" s="117" t="e">
        <f t="shared" si="6"/>
        <v>#REF!</v>
      </c>
      <c r="P57" s="111" t="e">
        <f>ROUND(N57*O57,2)</f>
        <v>#REF!</v>
      </c>
      <c r="Q57" s="112" t="e">
        <f>ROUND(L57*P57,2)</f>
        <v>#REF!</v>
      </c>
      <c r="R57" s="113" t="e">
        <f>#REF!</f>
        <v>#REF!</v>
      </c>
    </row>
    <row r="58" spans="1:18" s="105" customFormat="1" ht="15" customHeight="1">
      <c r="A58" s="101"/>
      <c r="B58" s="107" t="s">
        <v>231</v>
      </c>
      <c r="C58" s="280" t="s">
        <v>461</v>
      </c>
      <c r="D58" s="281"/>
      <c r="E58" s="281"/>
      <c r="F58" s="281"/>
      <c r="G58" s="281"/>
      <c r="H58" s="281"/>
      <c r="I58" s="281"/>
      <c r="J58" s="281"/>
      <c r="K58" s="282"/>
      <c r="L58" s="108">
        <f>98*L57</f>
        <v>98</v>
      </c>
      <c r="M58" s="109" t="s">
        <v>140</v>
      </c>
      <c r="N58" s="40">
        <v>0.79</v>
      </c>
      <c r="O58" s="117" t="e">
        <f>(1+$Q$3)</f>
        <v>#REF!</v>
      </c>
      <c r="P58" s="111" t="e">
        <f>ROUND(N58*O58,2)</f>
        <v>#REF!</v>
      </c>
      <c r="Q58" s="112" t="e">
        <f>ROUND(L58*P58,2)</f>
        <v>#REF!</v>
      </c>
      <c r="R58" s="113">
        <v>83725</v>
      </c>
    </row>
    <row r="59" spans="1:18" s="105" customFormat="1" ht="15" customHeight="1">
      <c r="A59" s="101"/>
      <c r="B59" s="107" t="s">
        <v>232</v>
      </c>
      <c r="C59" s="285" t="s">
        <v>828</v>
      </c>
      <c r="D59" s="281"/>
      <c r="E59" s="281"/>
      <c r="F59" s="281"/>
      <c r="G59" s="281"/>
      <c r="H59" s="281"/>
      <c r="I59" s="281"/>
      <c r="J59" s="281"/>
      <c r="K59" s="282"/>
      <c r="L59" s="108">
        <v>1</v>
      </c>
      <c r="M59" s="109" t="s">
        <v>111</v>
      </c>
      <c r="N59" s="40" t="e">
        <f>#REF!</f>
        <v>#REF!</v>
      </c>
      <c r="O59" s="117" t="e">
        <f t="shared" si="6"/>
        <v>#REF!</v>
      </c>
      <c r="P59" s="111" t="e">
        <f>ROUND(N59*O59,2)</f>
        <v>#REF!</v>
      </c>
      <c r="Q59" s="112" t="e">
        <f>ROUND(L59*P59,2)</f>
        <v>#REF!</v>
      </c>
      <c r="R59" s="113" t="e">
        <f>#REF!</f>
        <v>#REF!</v>
      </c>
    </row>
    <row r="60" spans="1:18" s="105" customFormat="1" ht="15" customHeight="1">
      <c r="A60" s="101"/>
      <c r="B60" s="107" t="s">
        <v>796</v>
      </c>
      <c r="C60" s="280" t="s">
        <v>461</v>
      </c>
      <c r="D60" s="281"/>
      <c r="E60" s="281"/>
      <c r="F60" s="281"/>
      <c r="G60" s="281"/>
      <c r="H60" s="281"/>
      <c r="I60" s="281"/>
      <c r="J60" s="281"/>
      <c r="K60" s="282"/>
      <c r="L60" s="108">
        <f>49*L59</f>
        <v>49</v>
      </c>
      <c r="M60" s="109" t="s">
        <v>140</v>
      </c>
      <c r="N60" s="40">
        <v>1.29</v>
      </c>
      <c r="O60" s="117" t="e">
        <f>(1+$Q$3)</f>
        <v>#REF!</v>
      </c>
      <c r="P60" s="111" t="e">
        <f>ROUND(N60*O60,2)</f>
        <v>#REF!</v>
      </c>
      <c r="Q60" s="112" t="e">
        <f>ROUND(L60*P60,2)</f>
        <v>#REF!</v>
      </c>
      <c r="R60" s="113">
        <v>83724</v>
      </c>
    </row>
    <row r="61" spans="1:23" s="105" customFormat="1" ht="15" customHeight="1">
      <c r="A61" s="101"/>
      <c r="B61" s="107" t="s">
        <v>797</v>
      </c>
      <c r="C61" s="285" t="s">
        <v>692</v>
      </c>
      <c r="D61" s="281"/>
      <c r="E61" s="281"/>
      <c r="F61" s="281"/>
      <c r="G61" s="281"/>
      <c r="H61" s="281"/>
      <c r="I61" s="281"/>
      <c r="J61" s="281"/>
      <c r="K61" s="282"/>
      <c r="L61" s="108">
        <v>4</v>
      </c>
      <c r="M61" s="109" t="s">
        <v>111</v>
      </c>
      <c r="N61" s="40" t="e">
        <f>#REF!</f>
        <v>#REF!</v>
      </c>
      <c r="O61" s="117" t="e">
        <f t="shared" si="6"/>
        <v>#REF!</v>
      </c>
      <c r="P61" s="111" t="e">
        <f t="shared" si="5"/>
        <v>#REF!</v>
      </c>
      <c r="Q61" s="112" t="e">
        <f t="shared" si="3"/>
        <v>#REF!</v>
      </c>
      <c r="R61" s="113" t="e">
        <f>#REF!</f>
        <v>#REF!</v>
      </c>
      <c r="W61" s="105">
        <f>5.34*0.166</f>
        <v>0.88644</v>
      </c>
    </row>
    <row r="62" spans="1:18" s="105" customFormat="1" ht="15" customHeight="1">
      <c r="A62" s="101"/>
      <c r="B62" s="107" t="s">
        <v>798</v>
      </c>
      <c r="C62" s="280" t="s">
        <v>462</v>
      </c>
      <c r="D62" s="281"/>
      <c r="E62" s="281"/>
      <c r="F62" s="281"/>
      <c r="G62" s="281"/>
      <c r="H62" s="281"/>
      <c r="I62" s="281"/>
      <c r="J62" s="281"/>
      <c r="K62" s="282"/>
      <c r="L62" s="108">
        <f>337*L61</f>
        <v>1348</v>
      </c>
      <c r="M62" s="109" t="s">
        <v>140</v>
      </c>
      <c r="N62" s="40">
        <v>0.79</v>
      </c>
      <c r="O62" s="117" t="e">
        <f>(1+$Q$3)</f>
        <v>#REF!</v>
      </c>
      <c r="P62" s="111" t="e">
        <f t="shared" si="5"/>
        <v>#REF!</v>
      </c>
      <c r="Q62" s="112" t="e">
        <f t="shared" si="3"/>
        <v>#REF!</v>
      </c>
      <c r="R62" s="113">
        <v>83725</v>
      </c>
    </row>
    <row r="63" spans="1:18" s="172" customFormat="1" ht="15" customHeight="1">
      <c r="A63" s="169"/>
      <c r="B63" s="170" t="s">
        <v>799</v>
      </c>
      <c r="C63" s="285" t="s">
        <v>946</v>
      </c>
      <c r="D63" s="292"/>
      <c r="E63" s="292"/>
      <c r="F63" s="292"/>
      <c r="G63" s="292"/>
      <c r="H63" s="292"/>
      <c r="I63" s="292"/>
      <c r="J63" s="292"/>
      <c r="K63" s="293"/>
      <c r="L63" s="40">
        <v>1</v>
      </c>
      <c r="M63" s="167" t="s">
        <v>111</v>
      </c>
      <c r="N63" s="40" t="e">
        <f>#REF!</f>
        <v>#REF!</v>
      </c>
      <c r="O63" s="171" t="e">
        <f t="shared" si="6"/>
        <v>#REF!</v>
      </c>
      <c r="P63" s="26" t="e">
        <f>ROUND(N63*O63,2)</f>
        <v>#REF!</v>
      </c>
      <c r="Q63" s="81" t="e">
        <f>ROUND(L63*P63,2)</f>
        <v>#REF!</v>
      </c>
      <c r="R63" s="166" t="e">
        <f>#REF!</f>
        <v>#REF!</v>
      </c>
    </row>
    <row r="64" spans="1:18" s="105" customFormat="1" ht="15" customHeight="1">
      <c r="A64" s="101"/>
      <c r="B64" s="107" t="s">
        <v>233</v>
      </c>
      <c r="C64" s="280" t="s">
        <v>462</v>
      </c>
      <c r="D64" s="281"/>
      <c r="E64" s="281"/>
      <c r="F64" s="281"/>
      <c r="G64" s="281"/>
      <c r="H64" s="281"/>
      <c r="I64" s="281"/>
      <c r="J64" s="281"/>
      <c r="K64" s="282"/>
      <c r="L64" s="108">
        <v>0.17</v>
      </c>
      <c r="M64" s="109" t="s">
        <v>78</v>
      </c>
      <c r="N64" s="40">
        <v>5.34</v>
      </c>
      <c r="O64" s="117" t="e">
        <f>(1+$Q$3)</f>
        <v>#REF!</v>
      </c>
      <c r="P64" s="111" t="e">
        <f>ROUND(N64*O64,2)</f>
        <v>#REF!</v>
      </c>
      <c r="Q64" s="112" t="e">
        <f>ROUND(L64*P64,2)</f>
        <v>#REF!</v>
      </c>
      <c r="R64" s="113" t="s">
        <v>463</v>
      </c>
    </row>
    <row r="65" spans="1:18" s="105" customFormat="1" ht="15" customHeight="1">
      <c r="A65" s="101"/>
      <c r="B65" s="107" t="s">
        <v>234</v>
      </c>
      <c r="C65" s="285" t="s">
        <v>591</v>
      </c>
      <c r="D65" s="281"/>
      <c r="E65" s="281"/>
      <c r="F65" s="281"/>
      <c r="G65" s="281"/>
      <c r="H65" s="281"/>
      <c r="I65" s="281"/>
      <c r="J65" s="281"/>
      <c r="K65" s="282"/>
      <c r="L65" s="108">
        <v>1</v>
      </c>
      <c r="M65" s="109" t="s">
        <v>111</v>
      </c>
      <c r="N65" s="40" t="e">
        <f>#REF!</f>
        <v>#REF!</v>
      </c>
      <c r="O65" s="117" t="e">
        <f t="shared" si="6"/>
        <v>#REF!</v>
      </c>
      <c r="P65" s="111" t="e">
        <f t="shared" si="5"/>
        <v>#REF!</v>
      </c>
      <c r="Q65" s="112" t="e">
        <f t="shared" si="3"/>
        <v>#REF!</v>
      </c>
      <c r="R65" s="113" t="e">
        <f>#REF!</f>
        <v>#REF!</v>
      </c>
    </row>
    <row r="66" spans="1:18" s="105" customFormat="1" ht="15" customHeight="1">
      <c r="A66" s="101"/>
      <c r="B66" s="107" t="s">
        <v>238</v>
      </c>
      <c r="C66" s="280" t="s">
        <v>462</v>
      </c>
      <c r="D66" s="281"/>
      <c r="E66" s="281"/>
      <c r="F66" s="281"/>
      <c r="G66" s="281"/>
      <c r="H66" s="281"/>
      <c r="I66" s="281"/>
      <c r="J66" s="281"/>
      <c r="K66" s="282"/>
      <c r="L66" s="108">
        <v>0.53</v>
      </c>
      <c r="M66" s="109" t="s">
        <v>78</v>
      </c>
      <c r="N66" s="40">
        <v>5.34</v>
      </c>
      <c r="O66" s="117" t="e">
        <f>(1+$Q$3)</f>
        <v>#REF!</v>
      </c>
      <c r="P66" s="111" t="e">
        <f t="shared" si="5"/>
        <v>#REF!</v>
      </c>
      <c r="Q66" s="112" t="e">
        <f t="shared" si="3"/>
        <v>#REF!</v>
      </c>
      <c r="R66" s="113" t="s">
        <v>463</v>
      </c>
    </row>
    <row r="67" spans="1:18" s="105" customFormat="1" ht="15" customHeight="1">
      <c r="A67" s="101"/>
      <c r="B67" s="107" t="s">
        <v>239</v>
      </c>
      <c r="C67" s="285" t="s">
        <v>693</v>
      </c>
      <c r="D67" s="281"/>
      <c r="E67" s="281"/>
      <c r="F67" s="281"/>
      <c r="G67" s="281"/>
      <c r="H67" s="281"/>
      <c r="I67" s="281"/>
      <c r="J67" s="281"/>
      <c r="K67" s="282"/>
      <c r="L67" s="108">
        <v>1</v>
      </c>
      <c r="M67" s="109" t="s">
        <v>111</v>
      </c>
      <c r="N67" s="40" t="e">
        <f>#REF!</f>
        <v>#REF!</v>
      </c>
      <c r="O67" s="117" t="e">
        <f t="shared" si="6"/>
        <v>#REF!</v>
      </c>
      <c r="P67" s="111" t="e">
        <f t="shared" si="5"/>
        <v>#REF!</v>
      </c>
      <c r="Q67" s="112" t="e">
        <f t="shared" si="3"/>
        <v>#REF!</v>
      </c>
      <c r="R67" s="113" t="e">
        <f>#REF!</f>
        <v>#REF!</v>
      </c>
    </row>
    <row r="68" spans="1:18" s="105" customFormat="1" ht="15" customHeight="1">
      <c r="A68" s="101"/>
      <c r="B68" s="107" t="s">
        <v>243</v>
      </c>
      <c r="C68" s="280" t="s">
        <v>462</v>
      </c>
      <c r="D68" s="281"/>
      <c r="E68" s="281"/>
      <c r="F68" s="281"/>
      <c r="G68" s="281"/>
      <c r="H68" s="281"/>
      <c r="I68" s="281"/>
      <c r="J68" s="281"/>
      <c r="K68" s="282"/>
      <c r="L68" s="108">
        <v>2.071</v>
      </c>
      <c r="M68" s="109" t="s">
        <v>78</v>
      </c>
      <c r="N68" s="40">
        <v>18.65</v>
      </c>
      <c r="O68" s="117" t="e">
        <f aca="true" t="shared" si="7" ref="O68:O76">(1+$Q$3)</f>
        <v>#REF!</v>
      </c>
      <c r="P68" s="111" t="e">
        <f t="shared" si="5"/>
        <v>#REF!</v>
      </c>
      <c r="Q68" s="112" t="e">
        <f t="shared" si="3"/>
        <v>#REF!</v>
      </c>
      <c r="R68" s="113" t="s">
        <v>464</v>
      </c>
    </row>
    <row r="69" spans="1:18" s="105" customFormat="1" ht="15" customHeight="1">
      <c r="A69" s="101"/>
      <c r="B69" s="107" t="s">
        <v>257</v>
      </c>
      <c r="C69" s="285" t="s">
        <v>694</v>
      </c>
      <c r="D69" s="281"/>
      <c r="E69" s="281"/>
      <c r="F69" s="281"/>
      <c r="G69" s="281"/>
      <c r="H69" s="281"/>
      <c r="I69" s="281"/>
      <c r="J69" s="281"/>
      <c r="K69" s="282"/>
      <c r="L69" s="108">
        <v>2</v>
      </c>
      <c r="M69" s="109" t="s">
        <v>111</v>
      </c>
      <c r="N69" s="40" t="e">
        <f>#REF!</f>
        <v>#REF!</v>
      </c>
      <c r="O69" s="117" t="e">
        <f t="shared" si="6"/>
        <v>#REF!</v>
      </c>
      <c r="P69" s="111" t="e">
        <f aca="true" t="shared" si="8" ref="P69:P76">ROUND(N69*O69,2)</f>
        <v>#REF!</v>
      </c>
      <c r="Q69" s="112" t="e">
        <f aca="true" t="shared" si="9" ref="Q69:Q76">ROUND(L69*P69,2)</f>
        <v>#REF!</v>
      </c>
      <c r="R69" s="113" t="e">
        <f>#REF!</f>
        <v>#REF!</v>
      </c>
    </row>
    <row r="70" spans="1:18" s="105" customFormat="1" ht="15" customHeight="1">
      <c r="A70" s="101"/>
      <c r="B70" s="107" t="s">
        <v>258</v>
      </c>
      <c r="C70" s="280" t="s">
        <v>462</v>
      </c>
      <c r="D70" s="281"/>
      <c r="E70" s="281"/>
      <c r="F70" s="281"/>
      <c r="G70" s="281"/>
      <c r="H70" s="281"/>
      <c r="I70" s="281"/>
      <c r="J70" s="281"/>
      <c r="K70" s="282"/>
      <c r="L70" s="108">
        <v>0.794</v>
      </c>
      <c r="M70" s="109" t="s">
        <v>78</v>
      </c>
      <c r="N70" s="40">
        <v>18.65</v>
      </c>
      <c r="O70" s="117" t="e">
        <f t="shared" si="7"/>
        <v>#REF!</v>
      </c>
      <c r="P70" s="111" t="e">
        <f t="shared" si="8"/>
        <v>#REF!</v>
      </c>
      <c r="Q70" s="112" t="e">
        <f t="shared" si="9"/>
        <v>#REF!</v>
      </c>
      <c r="R70" s="113" t="s">
        <v>464</v>
      </c>
    </row>
    <row r="71" spans="1:18" s="105" customFormat="1" ht="15" customHeight="1">
      <c r="A71" s="101"/>
      <c r="B71" s="107" t="s">
        <v>259</v>
      </c>
      <c r="C71" s="285" t="s">
        <v>695</v>
      </c>
      <c r="D71" s="281"/>
      <c r="E71" s="281"/>
      <c r="F71" s="281"/>
      <c r="G71" s="281"/>
      <c r="H71" s="281"/>
      <c r="I71" s="281"/>
      <c r="J71" s="281"/>
      <c r="K71" s="282"/>
      <c r="L71" s="108">
        <v>2</v>
      </c>
      <c r="M71" s="109" t="s">
        <v>111</v>
      </c>
      <c r="N71" s="40" t="e">
        <f>#REF!</f>
        <v>#REF!</v>
      </c>
      <c r="O71" s="117" t="e">
        <f t="shared" si="6"/>
        <v>#REF!</v>
      </c>
      <c r="P71" s="111" t="e">
        <f t="shared" si="8"/>
        <v>#REF!</v>
      </c>
      <c r="Q71" s="112" t="e">
        <f t="shared" si="9"/>
        <v>#REF!</v>
      </c>
      <c r="R71" s="113" t="e">
        <f>#REF!</f>
        <v>#REF!</v>
      </c>
    </row>
    <row r="72" spans="1:18" s="105" customFormat="1" ht="15" customHeight="1">
      <c r="A72" s="101"/>
      <c r="B72" s="107" t="s">
        <v>260</v>
      </c>
      <c r="C72" s="280" t="s">
        <v>462</v>
      </c>
      <c r="D72" s="281"/>
      <c r="E72" s="281"/>
      <c r="F72" s="281"/>
      <c r="G72" s="281"/>
      <c r="H72" s="281"/>
      <c r="I72" s="281"/>
      <c r="J72" s="281"/>
      <c r="K72" s="282"/>
      <c r="L72" s="108">
        <v>0.35</v>
      </c>
      <c r="M72" s="109" t="s">
        <v>78</v>
      </c>
      <c r="N72" s="40">
        <v>18.65</v>
      </c>
      <c r="O72" s="117" t="e">
        <f t="shared" si="7"/>
        <v>#REF!</v>
      </c>
      <c r="P72" s="111" t="e">
        <f t="shared" si="8"/>
        <v>#REF!</v>
      </c>
      <c r="Q72" s="112" t="e">
        <f t="shared" si="9"/>
        <v>#REF!</v>
      </c>
      <c r="R72" s="113" t="s">
        <v>464</v>
      </c>
    </row>
    <row r="73" spans="1:18" s="172" customFormat="1" ht="15" customHeight="1">
      <c r="A73" s="169"/>
      <c r="B73" s="170" t="s">
        <v>340</v>
      </c>
      <c r="C73" s="285" t="s">
        <v>696</v>
      </c>
      <c r="D73" s="292"/>
      <c r="E73" s="292"/>
      <c r="F73" s="292"/>
      <c r="G73" s="292"/>
      <c r="H73" s="292"/>
      <c r="I73" s="292"/>
      <c r="J73" s="292"/>
      <c r="K73" s="293"/>
      <c r="L73" s="40">
        <v>2</v>
      </c>
      <c r="M73" s="167" t="s">
        <v>111</v>
      </c>
      <c r="N73" s="40" t="e">
        <f>#REF!</f>
        <v>#REF!</v>
      </c>
      <c r="O73" s="171" t="e">
        <f t="shared" si="6"/>
        <v>#REF!</v>
      </c>
      <c r="P73" s="26" t="e">
        <f t="shared" si="8"/>
        <v>#REF!</v>
      </c>
      <c r="Q73" s="81" t="e">
        <f t="shared" si="9"/>
        <v>#REF!</v>
      </c>
      <c r="R73" s="166" t="e">
        <f>#REF!</f>
        <v>#REF!</v>
      </c>
    </row>
    <row r="74" spans="1:18" s="105" customFormat="1" ht="15" customHeight="1">
      <c r="A74" s="101"/>
      <c r="B74" s="107" t="s">
        <v>261</v>
      </c>
      <c r="C74" s="280" t="s">
        <v>462</v>
      </c>
      <c r="D74" s="281"/>
      <c r="E74" s="281"/>
      <c r="F74" s="281"/>
      <c r="G74" s="281"/>
      <c r="H74" s="281"/>
      <c r="I74" s="281"/>
      <c r="J74" s="281"/>
      <c r="K74" s="282"/>
      <c r="L74" s="108">
        <v>0.24</v>
      </c>
      <c r="M74" s="109" t="s">
        <v>78</v>
      </c>
      <c r="N74" s="40">
        <v>18.65</v>
      </c>
      <c r="O74" s="117" t="e">
        <f t="shared" si="7"/>
        <v>#REF!</v>
      </c>
      <c r="P74" s="111" t="e">
        <f t="shared" si="8"/>
        <v>#REF!</v>
      </c>
      <c r="Q74" s="112" t="e">
        <f t="shared" si="9"/>
        <v>#REF!</v>
      </c>
      <c r="R74" s="113" t="s">
        <v>464</v>
      </c>
    </row>
    <row r="75" spans="1:18" s="105" customFormat="1" ht="15" customHeight="1">
      <c r="A75" s="101"/>
      <c r="B75" s="107" t="s">
        <v>262</v>
      </c>
      <c r="C75" s="285" t="s">
        <v>697</v>
      </c>
      <c r="D75" s="281"/>
      <c r="E75" s="281"/>
      <c r="F75" s="281"/>
      <c r="G75" s="281"/>
      <c r="H75" s="281"/>
      <c r="I75" s="281"/>
      <c r="J75" s="281"/>
      <c r="K75" s="282"/>
      <c r="L75" s="108">
        <v>3</v>
      </c>
      <c r="M75" s="109" t="s">
        <v>111</v>
      </c>
      <c r="N75" s="40" t="e">
        <f>#REF!</f>
        <v>#REF!</v>
      </c>
      <c r="O75" s="117" t="e">
        <f t="shared" si="6"/>
        <v>#REF!</v>
      </c>
      <c r="P75" s="111" t="e">
        <f t="shared" si="8"/>
        <v>#REF!</v>
      </c>
      <c r="Q75" s="112" t="e">
        <f t="shared" si="9"/>
        <v>#REF!</v>
      </c>
      <c r="R75" s="113" t="e">
        <f>#REF!</f>
        <v>#REF!</v>
      </c>
    </row>
    <row r="76" spans="1:18" s="105" customFormat="1" ht="15" customHeight="1">
      <c r="A76" s="101"/>
      <c r="B76" s="107" t="s">
        <v>263</v>
      </c>
      <c r="C76" s="280" t="s">
        <v>462</v>
      </c>
      <c r="D76" s="281"/>
      <c r="E76" s="281"/>
      <c r="F76" s="281"/>
      <c r="G76" s="281"/>
      <c r="H76" s="281"/>
      <c r="I76" s="281"/>
      <c r="J76" s="281"/>
      <c r="K76" s="282"/>
      <c r="L76" s="108">
        <v>0.335</v>
      </c>
      <c r="M76" s="109" t="s">
        <v>78</v>
      </c>
      <c r="N76" s="40">
        <v>18.65</v>
      </c>
      <c r="O76" s="117" t="e">
        <f t="shared" si="7"/>
        <v>#REF!</v>
      </c>
      <c r="P76" s="111" t="e">
        <f t="shared" si="8"/>
        <v>#REF!</v>
      </c>
      <c r="Q76" s="112" t="e">
        <f t="shared" si="9"/>
        <v>#REF!</v>
      </c>
      <c r="R76" s="113" t="s">
        <v>464</v>
      </c>
    </row>
    <row r="77" spans="1:18" s="105" customFormat="1" ht="15" customHeight="1">
      <c r="A77" s="101"/>
      <c r="B77" s="107" t="s">
        <v>341</v>
      </c>
      <c r="C77" s="285" t="s">
        <v>698</v>
      </c>
      <c r="D77" s="281"/>
      <c r="E77" s="281"/>
      <c r="F77" s="281"/>
      <c r="G77" s="281"/>
      <c r="H77" s="281"/>
      <c r="I77" s="281"/>
      <c r="J77" s="281"/>
      <c r="K77" s="282"/>
      <c r="L77" s="108">
        <v>2</v>
      </c>
      <c r="M77" s="109" t="s">
        <v>111</v>
      </c>
      <c r="N77" s="40" t="e">
        <f>#REF!</f>
        <v>#REF!</v>
      </c>
      <c r="O77" s="117" t="e">
        <f t="shared" si="6"/>
        <v>#REF!</v>
      </c>
      <c r="P77" s="111" t="e">
        <f t="shared" si="5"/>
        <v>#REF!</v>
      </c>
      <c r="Q77" s="112" t="e">
        <f t="shared" si="3"/>
        <v>#REF!</v>
      </c>
      <c r="R77" s="113" t="e">
        <f>#REF!</f>
        <v>#REF!</v>
      </c>
    </row>
    <row r="78" spans="1:18" s="105" customFormat="1" ht="15" customHeight="1">
      <c r="A78" s="101"/>
      <c r="B78" s="107" t="s">
        <v>342</v>
      </c>
      <c r="C78" s="280" t="s">
        <v>461</v>
      </c>
      <c r="D78" s="281"/>
      <c r="E78" s="281"/>
      <c r="F78" s="281"/>
      <c r="G78" s="281"/>
      <c r="H78" s="281"/>
      <c r="I78" s="281"/>
      <c r="J78" s="281"/>
      <c r="K78" s="282"/>
      <c r="L78" s="108">
        <f>474*L77</f>
        <v>948</v>
      </c>
      <c r="M78" s="109" t="s">
        <v>140</v>
      </c>
      <c r="N78" s="40">
        <v>0.79</v>
      </c>
      <c r="O78" s="117" t="e">
        <f aca="true" t="shared" si="10" ref="O78:O84">(1+$Q$3)</f>
        <v>#REF!</v>
      </c>
      <c r="P78" s="111" t="e">
        <f t="shared" si="5"/>
        <v>#REF!</v>
      </c>
      <c r="Q78" s="112" t="e">
        <f t="shared" si="3"/>
        <v>#REF!</v>
      </c>
      <c r="R78" s="113">
        <v>83725</v>
      </c>
    </row>
    <row r="79" spans="1:18" s="105" customFormat="1" ht="15" customHeight="1">
      <c r="A79" s="101"/>
      <c r="B79" s="107" t="s">
        <v>343</v>
      </c>
      <c r="C79" s="285" t="s">
        <v>700</v>
      </c>
      <c r="D79" s="281"/>
      <c r="E79" s="281"/>
      <c r="F79" s="281"/>
      <c r="G79" s="281"/>
      <c r="H79" s="281"/>
      <c r="I79" s="281"/>
      <c r="J79" s="281"/>
      <c r="K79" s="282"/>
      <c r="L79" s="108">
        <v>2</v>
      </c>
      <c r="M79" s="109" t="s">
        <v>111</v>
      </c>
      <c r="N79" s="40" t="e">
        <f>#REF!</f>
        <v>#REF!</v>
      </c>
      <c r="O79" s="117" t="e">
        <f t="shared" si="6"/>
        <v>#REF!</v>
      </c>
      <c r="P79" s="111" t="e">
        <f aca="true" t="shared" si="11" ref="P79:P84">ROUND(N79*O79,2)</f>
        <v>#REF!</v>
      </c>
      <c r="Q79" s="112" t="e">
        <f aca="true" t="shared" si="12" ref="Q79:Q84">ROUND(L79*P79,2)</f>
        <v>#REF!</v>
      </c>
      <c r="R79" s="113" t="e">
        <f>#REF!</f>
        <v>#REF!</v>
      </c>
    </row>
    <row r="80" spans="1:18" s="105" customFormat="1" ht="15" customHeight="1">
      <c r="A80" s="101"/>
      <c r="B80" s="107" t="s">
        <v>420</v>
      </c>
      <c r="C80" s="280" t="s">
        <v>461</v>
      </c>
      <c r="D80" s="281"/>
      <c r="E80" s="281"/>
      <c r="F80" s="281"/>
      <c r="G80" s="281"/>
      <c r="H80" s="281"/>
      <c r="I80" s="281"/>
      <c r="J80" s="281"/>
      <c r="K80" s="282"/>
      <c r="L80" s="108">
        <f>1340*L79</f>
        <v>2680</v>
      </c>
      <c r="M80" s="109" t="s">
        <v>140</v>
      </c>
      <c r="N80" s="40">
        <v>0.79</v>
      </c>
      <c r="O80" s="117" t="e">
        <f t="shared" si="10"/>
        <v>#REF!</v>
      </c>
      <c r="P80" s="111" t="e">
        <f t="shared" si="11"/>
        <v>#REF!</v>
      </c>
      <c r="Q80" s="112" t="e">
        <f t="shared" si="12"/>
        <v>#REF!</v>
      </c>
      <c r="R80" s="113">
        <v>83725</v>
      </c>
    </row>
    <row r="81" spans="1:18" s="105" customFormat="1" ht="15" customHeight="1">
      <c r="A81" s="101"/>
      <c r="B81" s="107" t="s">
        <v>421</v>
      </c>
      <c r="C81" s="285" t="s">
        <v>701</v>
      </c>
      <c r="D81" s="281"/>
      <c r="E81" s="281"/>
      <c r="F81" s="281"/>
      <c r="G81" s="281"/>
      <c r="H81" s="281"/>
      <c r="I81" s="281"/>
      <c r="J81" s="281"/>
      <c r="K81" s="282"/>
      <c r="L81" s="108">
        <v>1</v>
      </c>
      <c r="M81" s="109" t="s">
        <v>111</v>
      </c>
      <c r="N81" s="40" t="e">
        <f>#REF!</f>
        <v>#REF!</v>
      </c>
      <c r="O81" s="117" t="e">
        <f t="shared" si="6"/>
        <v>#REF!</v>
      </c>
      <c r="P81" s="111" t="e">
        <f t="shared" si="11"/>
        <v>#REF!</v>
      </c>
      <c r="Q81" s="112" t="e">
        <f t="shared" si="12"/>
        <v>#REF!</v>
      </c>
      <c r="R81" s="113" t="e">
        <f>#REF!</f>
        <v>#REF!</v>
      </c>
    </row>
    <row r="82" spans="1:18" s="105" customFormat="1" ht="15" customHeight="1">
      <c r="A82" s="101"/>
      <c r="B82" s="107" t="s">
        <v>422</v>
      </c>
      <c r="C82" s="280" t="s">
        <v>461</v>
      </c>
      <c r="D82" s="281"/>
      <c r="E82" s="281"/>
      <c r="F82" s="281"/>
      <c r="G82" s="281"/>
      <c r="H82" s="281"/>
      <c r="I82" s="281"/>
      <c r="J82" s="281"/>
      <c r="K82" s="282"/>
      <c r="L82" s="108">
        <f>33*L81</f>
        <v>33</v>
      </c>
      <c r="M82" s="109" t="s">
        <v>140</v>
      </c>
      <c r="N82" s="40">
        <v>1.29</v>
      </c>
      <c r="O82" s="117" t="e">
        <f t="shared" si="10"/>
        <v>#REF!</v>
      </c>
      <c r="P82" s="111" t="e">
        <f t="shared" si="11"/>
        <v>#REF!</v>
      </c>
      <c r="Q82" s="112" t="e">
        <f t="shared" si="12"/>
        <v>#REF!</v>
      </c>
      <c r="R82" s="113">
        <v>83724</v>
      </c>
    </row>
    <row r="83" spans="1:18" s="105" customFormat="1" ht="15" customHeight="1">
      <c r="A83" s="101"/>
      <c r="B83" s="107" t="s">
        <v>423</v>
      </c>
      <c r="C83" s="285" t="s">
        <v>702</v>
      </c>
      <c r="D83" s="281"/>
      <c r="E83" s="281"/>
      <c r="F83" s="281"/>
      <c r="G83" s="281"/>
      <c r="H83" s="281"/>
      <c r="I83" s="281"/>
      <c r="J83" s="281"/>
      <c r="K83" s="282"/>
      <c r="L83" s="108">
        <v>2</v>
      </c>
      <c r="M83" s="109" t="s">
        <v>111</v>
      </c>
      <c r="N83" s="40" t="e">
        <f>#REF!</f>
        <v>#REF!</v>
      </c>
      <c r="O83" s="117" t="e">
        <f t="shared" si="6"/>
        <v>#REF!</v>
      </c>
      <c r="P83" s="111" t="e">
        <f t="shared" si="11"/>
        <v>#REF!</v>
      </c>
      <c r="Q83" s="112" t="e">
        <f t="shared" si="12"/>
        <v>#REF!</v>
      </c>
      <c r="R83" s="113" t="e">
        <f>#REF!</f>
        <v>#REF!</v>
      </c>
    </row>
    <row r="84" spans="1:18" s="105" customFormat="1" ht="15" customHeight="1">
      <c r="A84" s="101"/>
      <c r="B84" s="107" t="s">
        <v>424</v>
      </c>
      <c r="C84" s="280" t="s">
        <v>461</v>
      </c>
      <c r="D84" s="281"/>
      <c r="E84" s="281"/>
      <c r="F84" s="281"/>
      <c r="G84" s="281"/>
      <c r="H84" s="281"/>
      <c r="I84" s="281"/>
      <c r="J84" s="281"/>
      <c r="K84" s="282"/>
      <c r="L84" s="108"/>
      <c r="M84" s="109" t="s">
        <v>140</v>
      </c>
      <c r="N84" s="40">
        <v>0.79</v>
      </c>
      <c r="O84" s="117" t="e">
        <f t="shared" si="10"/>
        <v>#REF!</v>
      </c>
      <c r="P84" s="111" t="e">
        <f t="shared" si="11"/>
        <v>#REF!</v>
      </c>
      <c r="Q84" s="112" t="e">
        <f t="shared" si="12"/>
        <v>#REF!</v>
      </c>
      <c r="R84" s="113">
        <v>83725</v>
      </c>
    </row>
    <row r="85" spans="1:18" s="105" customFormat="1" ht="15" customHeight="1">
      <c r="A85" s="101"/>
      <c r="B85" s="107" t="s">
        <v>425</v>
      </c>
      <c r="C85" s="289" t="s">
        <v>185</v>
      </c>
      <c r="D85" s="290"/>
      <c r="E85" s="290"/>
      <c r="F85" s="290"/>
      <c r="G85" s="290"/>
      <c r="H85" s="290"/>
      <c r="I85" s="290"/>
      <c r="J85" s="290"/>
      <c r="K85" s="291"/>
      <c r="L85" s="118">
        <f>(4*2+8.1*2)*3.75</f>
        <v>90.75</v>
      </c>
      <c r="M85" s="119" t="s">
        <v>72</v>
      </c>
      <c r="N85" s="182">
        <v>50.37</v>
      </c>
      <c r="O85" s="124" t="e">
        <f aca="true" t="shared" si="13" ref="O85:O105">(1+$Q$3)</f>
        <v>#REF!</v>
      </c>
      <c r="P85" s="125" t="e">
        <f t="shared" si="5"/>
        <v>#REF!</v>
      </c>
      <c r="Q85" s="120" t="e">
        <f t="shared" si="3"/>
        <v>#REF!</v>
      </c>
      <c r="R85" s="113" t="s">
        <v>184</v>
      </c>
    </row>
    <row r="86" spans="1:18" s="105" customFormat="1" ht="24.75" customHeight="1">
      <c r="A86" s="101"/>
      <c r="B86" s="107" t="s">
        <v>426</v>
      </c>
      <c r="C86" s="285" t="s">
        <v>215</v>
      </c>
      <c r="D86" s="292"/>
      <c r="E86" s="292"/>
      <c r="F86" s="292"/>
      <c r="G86" s="292"/>
      <c r="H86" s="292"/>
      <c r="I86" s="292"/>
      <c r="J86" s="292"/>
      <c r="K86" s="293"/>
      <c r="L86" s="108">
        <v>32.41</v>
      </c>
      <c r="M86" s="109" t="s">
        <v>72</v>
      </c>
      <c r="N86" s="40">
        <f>'Composição Fase I'!H5</f>
        <v>3161.5</v>
      </c>
      <c r="O86" s="117" t="e">
        <f t="shared" si="13"/>
        <v>#REF!</v>
      </c>
      <c r="P86" s="111" t="e">
        <f t="shared" si="5"/>
        <v>#REF!</v>
      </c>
      <c r="Q86" s="112" t="e">
        <f t="shared" si="3"/>
        <v>#REF!</v>
      </c>
      <c r="R86" s="166" t="s">
        <v>967</v>
      </c>
    </row>
    <row r="87" spans="1:18" s="105" customFormat="1" ht="24.75" customHeight="1">
      <c r="A87" s="101"/>
      <c r="B87" s="107" t="s">
        <v>427</v>
      </c>
      <c r="C87" s="280" t="s">
        <v>216</v>
      </c>
      <c r="D87" s="281"/>
      <c r="E87" s="281"/>
      <c r="F87" s="281"/>
      <c r="G87" s="281"/>
      <c r="H87" s="281"/>
      <c r="I87" s="281"/>
      <c r="J87" s="281"/>
      <c r="K87" s="282"/>
      <c r="L87" s="108">
        <f>L92+L93</f>
        <v>369.29999999999995</v>
      </c>
      <c r="M87" s="109" t="s">
        <v>72</v>
      </c>
      <c r="N87" s="40">
        <v>4.43</v>
      </c>
      <c r="O87" s="117" t="e">
        <f t="shared" si="13"/>
        <v>#REF!</v>
      </c>
      <c r="P87" s="111" t="e">
        <f t="shared" si="5"/>
        <v>#REF!</v>
      </c>
      <c r="Q87" s="112" t="e">
        <f aca="true" t="shared" si="14" ref="Q87:Q147">ROUND(L87*P87,2)</f>
        <v>#REF!</v>
      </c>
      <c r="R87" s="113">
        <v>84123</v>
      </c>
    </row>
    <row r="88" spans="1:18" s="105" customFormat="1" ht="24.75" customHeight="1">
      <c r="A88" s="101"/>
      <c r="B88" s="107" t="s">
        <v>428</v>
      </c>
      <c r="C88" s="280" t="s">
        <v>217</v>
      </c>
      <c r="D88" s="281"/>
      <c r="E88" s="281"/>
      <c r="F88" s="281"/>
      <c r="G88" s="281"/>
      <c r="H88" s="281"/>
      <c r="I88" s="281"/>
      <c r="J88" s="281"/>
      <c r="K88" s="282"/>
      <c r="L88" s="108">
        <f>L94</f>
        <v>71.4</v>
      </c>
      <c r="M88" s="109" t="s">
        <v>72</v>
      </c>
      <c r="N88" s="40">
        <v>4.43</v>
      </c>
      <c r="O88" s="117" t="e">
        <f t="shared" si="13"/>
        <v>#REF!</v>
      </c>
      <c r="P88" s="111" t="e">
        <f t="shared" si="5"/>
        <v>#REF!</v>
      </c>
      <c r="Q88" s="112" t="e">
        <f t="shared" si="14"/>
        <v>#REF!</v>
      </c>
      <c r="R88" s="113">
        <v>84123</v>
      </c>
    </row>
    <row r="89" spans="1:18" s="105" customFormat="1" ht="15" customHeight="1">
      <c r="A89" s="101"/>
      <c r="B89" s="107" t="s">
        <v>429</v>
      </c>
      <c r="C89" s="280" t="s">
        <v>218</v>
      </c>
      <c r="D89" s="281"/>
      <c r="E89" s="281"/>
      <c r="F89" s="281"/>
      <c r="G89" s="281"/>
      <c r="H89" s="281"/>
      <c r="I89" s="281"/>
      <c r="J89" s="281"/>
      <c r="K89" s="282"/>
      <c r="L89" s="108">
        <f>4*2.07*2.6+2.4*0.5+2*1.5*1.5+1.2*1.5+2.8*2.6+1.97*1*4+0.8*0.5+0.5*0.5*3+1.2*2.4+0.8*2.1*3</f>
        <v>53.258</v>
      </c>
      <c r="M89" s="109" t="s">
        <v>72</v>
      </c>
      <c r="N89" s="40">
        <v>4.43</v>
      </c>
      <c r="O89" s="117" t="e">
        <f t="shared" si="13"/>
        <v>#REF!</v>
      </c>
      <c r="P89" s="111" t="e">
        <f t="shared" si="5"/>
        <v>#REF!</v>
      </c>
      <c r="Q89" s="112" t="e">
        <f t="shared" si="14"/>
        <v>#REF!</v>
      </c>
      <c r="R89" s="113">
        <v>84123</v>
      </c>
    </row>
    <row r="90" spans="1:18" s="105" customFormat="1" ht="15" customHeight="1">
      <c r="A90" s="101"/>
      <c r="B90" s="107" t="s">
        <v>430</v>
      </c>
      <c r="C90" s="280" t="s">
        <v>220</v>
      </c>
      <c r="D90" s="281"/>
      <c r="E90" s="281"/>
      <c r="F90" s="281"/>
      <c r="G90" s="281"/>
      <c r="H90" s="281"/>
      <c r="I90" s="281"/>
      <c r="J90" s="281"/>
      <c r="K90" s="282"/>
      <c r="L90" s="108">
        <f>L92+L93+L94</f>
        <v>440.69999999999993</v>
      </c>
      <c r="M90" s="109" t="s">
        <v>72</v>
      </c>
      <c r="N90" s="40">
        <v>1.74</v>
      </c>
      <c r="O90" s="117" t="e">
        <f t="shared" si="13"/>
        <v>#REF!</v>
      </c>
      <c r="P90" s="111" t="e">
        <f t="shared" si="5"/>
        <v>#REF!</v>
      </c>
      <c r="Q90" s="112" t="e">
        <f t="shared" si="14"/>
        <v>#REF!</v>
      </c>
      <c r="R90" s="113">
        <v>88485</v>
      </c>
    </row>
    <row r="91" spans="1:18" s="105" customFormat="1" ht="15" customHeight="1">
      <c r="A91" s="101"/>
      <c r="B91" s="107" t="s">
        <v>431</v>
      </c>
      <c r="C91" s="280" t="s">
        <v>219</v>
      </c>
      <c r="D91" s="281"/>
      <c r="E91" s="281"/>
      <c r="F91" s="281"/>
      <c r="G91" s="281"/>
      <c r="H91" s="281"/>
      <c r="I91" s="281"/>
      <c r="J91" s="281"/>
      <c r="K91" s="282"/>
      <c r="L91" s="108">
        <f>L89</f>
        <v>53.258</v>
      </c>
      <c r="M91" s="109" t="s">
        <v>72</v>
      </c>
      <c r="N91" s="40">
        <v>9.59</v>
      </c>
      <c r="O91" s="117" t="e">
        <f t="shared" si="13"/>
        <v>#REF!</v>
      </c>
      <c r="P91" s="111" t="e">
        <f t="shared" si="5"/>
        <v>#REF!</v>
      </c>
      <c r="Q91" s="112" t="e">
        <f t="shared" si="14"/>
        <v>#REF!</v>
      </c>
      <c r="R91" s="113" t="s">
        <v>811</v>
      </c>
    </row>
    <row r="92" spans="1:18" s="105" customFormat="1" ht="15" customHeight="1">
      <c r="A92" s="101"/>
      <c r="B92" s="107" t="s">
        <v>432</v>
      </c>
      <c r="C92" s="280" t="s">
        <v>221</v>
      </c>
      <c r="D92" s="281"/>
      <c r="E92" s="281"/>
      <c r="F92" s="281"/>
      <c r="G92" s="281"/>
      <c r="H92" s="281"/>
      <c r="I92" s="281"/>
      <c r="J92" s="281"/>
      <c r="K92" s="282"/>
      <c r="L92" s="108">
        <f>17.4*3+24.2*6+16.7*3</f>
        <v>247.49999999999997</v>
      </c>
      <c r="M92" s="109" t="s">
        <v>72</v>
      </c>
      <c r="N92" s="40">
        <v>14.18</v>
      </c>
      <c r="O92" s="117" t="e">
        <f t="shared" si="13"/>
        <v>#REF!</v>
      </c>
      <c r="P92" s="111" t="e">
        <f t="shared" si="5"/>
        <v>#REF!</v>
      </c>
      <c r="Q92" s="112" t="e">
        <f t="shared" si="14"/>
        <v>#REF!</v>
      </c>
      <c r="R92" s="113" t="s">
        <v>812</v>
      </c>
    </row>
    <row r="93" spans="1:18" s="105" customFormat="1" ht="15" customHeight="1">
      <c r="A93" s="101"/>
      <c r="B93" s="107" t="s">
        <v>433</v>
      </c>
      <c r="C93" s="280" t="s">
        <v>222</v>
      </c>
      <c r="D93" s="281"/>
      <c r="E93" s="281"/>
      <c r="F93" s="281"/>
      <c r="G93" s="281"/>
      <c r="H93" s="281"/>
      <c r="I93" s="281"/>
      <c r="J93" s="281"/>
      <c r="K93" s="282"/>
      <c r="L93" s="108">
        <f>23.5*3+17.1*3</f>
        <v>121.80000000000001</v>
      </c>
      <c r="M93" s="109" t="s">
        <v>72</v>
      </c>
      <c r="N93" s="40">
        <v>14.18</v>
      </c>
      <c r="O93" s="117" t="e">
        <f t="shared" si="13"/>
        <v>#REF!</v>
      </c>
      <c r="P93" s="111" t="e">
        <f t="shared" si="5"/>
        <v>#REF!</v>
      </c>
      <c r="Q93" s="112" t="e">
        <f t="shared" si="14"/>
        <v>#REF!</v>
      </c>
      <c r="R93" s="113" t="s">
        <v>812</v>
      </c>
    </row>
    <row r="94" spans="1:18" s="105" customFormat="1" ht="15" customHeight="1">
      <c r="A94" s="101"/>
      <c r="B94" s="107" t="s">
        <v>434</v>
      </c>
      <c r="C94" s="280" t="s">
        <v>223</v>
      </c>
      <c r="D94" s="281"/>
      <c r="E94" s="281"/>
      <c r="F94" s="281"/>
      <c r="G94" s="281"/>
      <c r="H94" s="281"/>
      <c r="I94" s="281"/>
      <c r="J94" s="281"/>
      <c r="K94" s="282"/>
      <c r="L94" s="108">
        <f>17.1+32.4+21.9</f>
        <v>71.4</v>
      </c>
      <c r="M94" s="109" t="s">
        <v>72</v>
      </c>
      <c r="N94" s="40">
        <v>14.18</v>
      </c>
      <c r="O94" s="117" t="e">
        <f t="shared" si="13"/>
        <v>#REF!</v>
      </c>
      <c r="P94" s="111" t="e">
        <f t="shared" si="5"/>
        <v>#REF!</v>
      </c>
      <c r="Q94" s="112" t="e">
        <f t="shared" si="14"/>
        <v>#REF!</v>
      </c>
      <c r="R94" s="113" t="s">
        <v>812</v>
      </c>
    </row>
    <row r="95" spans="1:18" s="105" customFormat="1" ht="15" customHeight="1">
      <c r="A95" s="101"/>
      <c r="B95" s="107" t="s">
        <v>435</v>
      </c>
      <c r="C95" s="280" t="s">
        <v>224</v>
      </c>
      <c r="D95" s="281"/>
      <c r="E95" s="281"/>
      <c r="F95" s="281"/>
      <c r="G95" s="281"/>
      <c r="H95" s="281"/>
      <c r="I95" s="281"/>
      <c r="J95" s="281"/>
      <c r="K95" s="282"/>
      <c r="L95" s="108">
        <f>L89</f>
        <v>53.258</v>
      </c>
      <c r="M95" s="109" t="s">
        <v>72</v>
      </c>
      <c r="N95" s="40">
        <v>19.12</v>
      </c>
      <c r="O95" s="117" t="e">
        <f t="shared" si="13"/>
        <v>#REF!</v>
      </c>
      <c r="P95" s="111" t="e">
        <f t="shared" si="5"/>
        <v>#REF!</v>
      </c>
      <c r="Q95" s="112" t="e">
        <f t="shared" si="14"/>
        <v>#REF!</v>
      </c>
      <c r="R95" s="113" t="s">
        <v>813</v>
      </c>
    </row>
    <row r="96" spans="1:18" s="105" customFormat="1" ht="15" customHeight="1">
      <c r="A96" s="101"/>
      <c r="B96" s="107" t="s">
        <v>436</v>
      </c>
      <c r="C96" s="280" t="s">
        <v>225</v>
      </c>
      <c r="D96" s="281"/>
      <c r="E96" s="281"/>
      <c r="F96" s="281"/>
      <c r="G96" s="281"/>
      <c r="H96" s="281"/>
      <c r="I96" s="281"/>
      <c r="J96" s="281"/>
      <c r="K96" s="282"/>
      <c r="L96" s="108">
        <v>1</v>
      </c>
      <c r="M96" s="109" t="s">
        <v>111</v>
      </c>
      <c r="N96" s="40">
        <v>723.8</v>
      </c>
      <c r="O96" s="117" t="e">
        <f t="shared" si="13"/>
        <v>#REF!</v>
      </c>
      <c r="P96" s="111" t="e">
        <f t="shared" si="5"/>
        <v>#REF!</v>
      </c>
      <c r="Q96" s="112" t="e">
        <f t="shared" si="14"/>
        <v>#REF!</v>
      </c>
      <c r="R96" s="113">
        <v>10848</v>
      </c>
    </row>
    <row r="97" spans="1:18" s="105" customFormat="1" ht="28.5" customHeight="1">
      <c r="A97" s="101"/>
      <c r="B97" s="107" t="s">
        <v>437</v>
      </c>
      <c r="C97" s="285" t="s">
        <v>994</v>
      </c>
      <c r="D97" s="281"/>
      <c r="E97" s="281"/>
      <c r="F97" s="281"/>
      <c r="G97" s="281"/>
      <c r="H97" s="281"/>
      <c r="I97" s="281"/>
      <c r="J97" s="281"/>
      <c r="K97" s="282"/>
      <c r="L97" s="108">
        <v>1</v>
      </c>
      <c r="M97" s="109" t="s">
        <v>111</v>
      </c>
      <c r="N97" s="40" t="e">
        <f>'Composição Fase I'!H26</f>
        <v>#REF!</v>
      </c>
      <c r="O97" s="117" t="e">
        <f t="shared" si="13"/>
        <v>#REF!</v>
      </c>
      <c r="P97" s="111" t="e">
        <f t="shared" si="5"/>
        <v>#REF!</v>
      </c>
      <c r="Q97" s="112" t="e">
        <f t="shared" si="14"/>
        <v>#REF!</v>
      </c>
      <c r="R97" s="113" t="str">
        <f>'Composição Fase I'!A27</f>
        <v>005</v>
      </c>
    </row>
    <row r="98" spans="1:18" s="105" customFormat="1" ht="25.5" customHeight="1">
      <c r="A98" s="101"/>
      <c r="B98" s="107" t="s">
        <v>438</v>
      </c>
      <c r="C98" s="284" t="s">
        <v>622</v>
      </c>
      <c r="D98" s="284"/>
      <c r="E98" s="284"/>
      <c r="F98" s="284"/>
      <c r="G98" s="284"/>
      <c r="H98" s="284"/>
      <c r="I98" s="284"/>
      <c r="J98" s="284"/>
      <c r="K98" s="284"/>
      <c r="L98" s="118">
        <v>1</v>
      </c>
      <c r="M98" s="119" t="s">
        <v>111</v>
      </c>
      <c r="N98" s="182">
        <f>392*20.57</f>
        <v>8063.4400000000005</v>
      </c>
      <c r="O98" s="124" t="e">
        <f t="shared" si="13"/>
        <v>#REF!</v>
      </c>
      <c r="P98" s="125" t="e">
        <f t="shared" si="5"/>
        <v>#REF!</v>
      </c>
      <c r="Q98" s="120" t="e">
        <f t="shared" si="14"/>
        <v>#REF!</v>
      </c>
      <c r="R98" s="113" t="s">
        <v>489</v>
      </c>
    </row>
    <row r="99" spans="1:18" s="105" customFormat="1" ht="15" customHeight="1">
      <c r="A99" s="101"/>
      <c r="B99" s="107" t="s">
        <v>439</v>
      </c>
      <c r="C99" s="278" t="s">
        <v>226</v>
      </c>
      <c r="D99" s="278"/>
      <c r="E99" s="278"/>
      <c r="F99" s="278"/>
      <c r="G99" s="278"/>
      <c r="H99" s="278"/>
      <c r="I99" s="278"/>
      <c r="J99" s="278"/>
      <c r="K99" s="278"/>
      <c r="L99" s="108">
        <f>44.02+18.85+18.85+18.85+18.85+6+1+3.2+14.7+1.4</f>
        <v>145.71999999999997</v>
      </c>
      <c r="M99" s="109" t="s">
        <v>78</v>
      </c>
      <c r="N99" s="40">
        <v>273.49</v>
      </c>
      <c r="O99" s="117" t="e">
        <f t="shared" si="13"/>
        <v>#REF!</v>
      </c>
      <c r="P99" s="111" t="e">
        <f t="shared" si="5"/>
        <v>#REF!</v>
      </c>
      <c r="Q99" s="112" t="e">
        <f t="shared" si="14"/>
        <v>#REF!</v>
      </c>
      <c r="R99" s="113">
        <v>73631</v>
      </c>
    </row>
    <row r="100" spans="1:18" s="122" customFormat="1" ht="15" customHeight="1">
      <c r="A100" s="121"/>
      <c r="B100" s="107" t="s">
        <v>440</v>
      </c>
      <c r="C100" s="278" t="s">
        <v>253</v>
      </c>
      <c r="D100" s="278"/>
      <c r="E100" s="278"/>
      <c r="F100" s="278"/>
      <c r="G100" s="278"/>
      <c r="H100" s="278"/>
      <c r="I100" s="278"/>
      <c r="J100" s="278"/>
      <c r="K100" s="278"/>
      <c r="L100" s="108">
        <v>10.7</v>
      </c>
      <c r="M100" s="109" t="s">
        <v>73</v>
      </c>
      <c r="N100" s="40">
        <v>264.39</v>
      </c>
      <c r="O100" s="117" t="e">
        <f t="shared" si="13"/>
        <v>#REF!</v>
      </c>
      <c r="P100" s="111" t="e">
        <f t="shared" si="5"/>
        <v>#REF!</v>
      </c>
      <c r="Q100" s="112" t="e">
        <f t="shared" si="14"/>
        <v>#REF!</v>
      </c>
      <c r="R100" s="113">
        <v>94971</v>
      </c>
    </row>
    <row r="101" spans="1:18" s="122" customFormat="1" ht="15" customHeight="1">
      <c r="A101" s="121"/>
      <c r="B101" s="107" t="s">
        <v>441</v>
      </c>
      <c r="C101" s="278" t="s">
        <v>187</v>
      </c>
      <c r="D101" s="278"/>
      <c r="E101" s="278"/>
      <c r="F101" s="278"/>
      <c r="G101" s="278"/>
      <c r="H101" s="278"/>
      <c r="I101" s="278"/>
      <c r="J101" s="278"/>
      <c r="K101" s="278"/>
      <c r="L101" s="108">
        <f>L100</f>
        <v>10.7</v>
      </c>
      <c r="M101" s="109" t="s">
        <v>73</v>
      </c>
      <c r="N101" s="40">
        <v>79.75</v>
      </c>
      <c r="O101" s="117" t="e">
        <f t="shared" si="13"/>
        <v>#REF!</v>
      </c>
      <c r="P101" s="111" t="e">
        <f t="shared" si="5"/>
        <v>#REF!</v>
      </c>
      <c r="Q101" s="112" t="e">
        <f t="shared" si="14"/>
        <v>#REF!</v>
      </c>
      <c r="R101" s="113" t="s">
        <v>144</v>
      </c>
    </row>
    <row r="102" spans="1:18" s="122" customFormat="1" ht="15" customHeight="1">
      <c r="A102" s="121"/>
      <c r="B102" s="107" t="s">
        <v>442</v>
      </c>
      <c r="C102" s="278" t="s">
        <v>193</v>
      </c>
      <c r="D102" s="278"/>
      <c r="E102" s="278"/>
      <c r="F102" s="278"/>
      <c r="G102" s="278"/>
      <c r="H102" s="278"/>
      <c r="I102" s="278"/>
      <c r="J102" s="278"/>
      <c r="K102" s="278"/>
      <c r="L102" s="108">
        <v>88.22</v>
      </c>
      <c r="M102" s="109" t="s">
        <v>72</v>
      </c>
      <c r="N102" s="40">
        <v>31.68</v>
      </c>
      <c r="O102" s="117" t="e">
        <f t="shared" si="13"/>
        <v>#REF!</v>
      </c>
      <c r="P102" s="111" t="e">
        <f t="shared" si="5"/>
        <v>#REF!</v>
      </c>
      <c r="Q102" s="112" t="e">
        <f t="shared" si="14"/>
        <v>#REF!</v>
      </c>
      <c r="R102" s="113">
        <v>5651</v>
      </c>
    </row>
    <row r="103" spans="1:18" s="105" customFormat="1" ht="15" customHeight="1">
      <c r="A103" s="101"/>
      <c r="B103" s="107" t="s">
        <v>443</v>
      </c>
      <c r="C103" s="278" t="s">
        <v>255</v>
      </c>
      <c r="D103" s="278"/>
      <c r="E103" s="278"/>
      <c r="F103" s="278"/>
      <c r="G103" s="278"/>
      <c r="H103" s="278"/>
      <c r="I103" s="278"/>
      <c r="J103" s="278"/>
      <c r="K103" s="278"/>
      <c r="L103" s="108">
        <v>2</v>
      </c>
      <c r="M103" s="109" t="s">
        <v>111</v>
      </c>
      <c r="N103" s="40">
        <f>0.79*1.06*289.15</f>
        <v>242.13421</v>
      </c>
      <c r="O103" s="117" t="e">
        <f t="shared" si="13"/>
        <v>#REF!</v>
      </c>
      <c r="P103" s="111" t="e">
        <f t="shared" si="5"/>
        <v>#REF!</v>
      </c>
      <c r="Q103" s="112" t="e">
        <f t="shared" si="14"/>
        <v>#REF!</v>
      </c>
      <c r="R103" s="113">
        <v>85096</v>
      </c>
    </row>
    <row r="104" spans="1:18" s="105" customFormat="1" ht="15" customHeight="1">
      <c r="A104" s="101"/>
      <c r="B104" s="107" t="s">
        <v>444</v>
      </c>
      <c r="C104" s="278" t="s">
        <v>256</v>
      </c>
      <c r="D104" s="278"/>
      <c r="E104" s="278"/>
      <c r="F104" s="278"/>
      <c r="G104" s="278"/>
      <c r="H104" s="278"/>
      <c r="I104" s="278"/>
      <c r="J104" s="278"/>
      <c r="K104" s="278"/>
      <c r="L104" s="108">
        <v>1</v>
      </c>
      <c r="M104" s="109" t="s">
        <v>111</v>
      </c>
      <c r="N104" s="40">
        <f>1.6*1.06*289.15</f>
        <v>490.39840000000004</v>
      </c>
      <c r="O104" s="117" t="e">
        <f t="shared" si="13"/>
        <v>#REF!</v>
      </c>
      <c r="P104" s="111" t="e">
        <f t="shared" si="5"/>
        <v>#REF!</v>
      </c>
      <c r="Q104" s="112" t="e">
        <f t="shared" si="14"/>
        <v>#REF!</v>
      </c>
      <c r="R104" s="113">
        <v>85096</v>
      </c>
    </row>
    <row r="105" spans="1:18" s="105" customFormat="1" ht="15" customHeight="1">
      <c r="A105" s="101"/>
      <c r="B105" s="107" t="s">
        <v>445</v>
      </c>
      <c r="C105" s="278" t="s">
        <v>254</v>
      </c>
      <c r="D105" s="278"/>
      <c r="E105" s="278"/>
      <c r="F105" s="278"/>
      <c r="G105" s="278"/>
      <c r="H105" s="278"/>
      <c r="I105" s="278"/>
      <c r="J105" s="278"/>
      <c r="K105" s="278"/>
      <c r="L105" s="108">
        <f>14*(0.6+0.15*2)*0.395*3</f>
        <v>14.930999999999997</v>
      </c>
      <c r="M105" s="109" t="s">
        <v>140</v>
      </c>
      <c r="N105" s="40">
        <v>7</v>
      </c>
      <c r="O105" s="117" t="e">
        <f t="shared" si="13"/>
        <v>#REF!</v>
      </c>
      <c r="P105" s="111" t="e">
        <f t="shared" si="5"/>
        <v>#REF!</v>
      </c>
      <c r="Q105" s="112" t="e">
        <f t="shared" si="14"/>
        <v>#REF!</v>
      </c>
      <c r="R105" s="113">
        <v>92793</v>
      </c>
    </row>
    <row r="106" spans="1:18" s="105" customFormat="1" ht="15" customHeight="1">
      <c r="A106" s="101"/>
      <c r="B106" s="107" t="s">
        <v>446</v>
      </c>
      <c r="C106" s="278" t="s">
        <v>373</v>
      </c>
      <c r="D106" s="278"/>
      <c r="E106" s="278"/>
      <c r="F106" s="278"/>
      <c r="G106" s="278"/>
      <c r="H106" s="278"/>
      <c r="I106" s="278"/>
      <c r="J106" s="278"/>
      <c r="K106" s="278"/>
      <c r="L106" s="108">
        <v>240</v>
      </c>
      <c r="M106" s="109" t="s">
        <v>134</v>
      </c>
      <c r="N106" s="40">
        <v>16.55</v>
      </c>
      <c r="O106" s="117" t="e">
        <f>(1+$N$3)</f>
        <v>#REF!</v>
      </c>
      <c r="P106" s="111" t="e">
        <f t="shared" si="5"/>
        <v>#REF!</v>
      </c>
      <c r="Q106" s="112" t="e">
        <f t="shared" si="14"/>
        <v>#REF!</v>
      </c>
      <c r="R106" s="113" t="s">
        <v>374</v>
      </c>
    </row>
    <row r="107" spans="1:18" s="105" customFormat="1" ht="15" customHeight="1">
      <c r="A107" s="101"/>
      <c r="B107" s="107" t="s">
        <v>447</v>
      </c>
      <c r="C107" s="278" t="s">
        <v>375</v>
      </c>
      <c r="D107" s="278"/>
      <c r="E107" s="278"/>
      <c r="F107" s="278"/>
      <c r="G107" s="278"/>
      <c r="H107" s="278"/>
      <c r="I107" s="278"/>
      <c r="J107" s="278"/>
      <c r="K107" s="278"/>
      <c r="L107" s="108">
        <v>240</v>
      </c>
      <c r="M107" s="109" t="s">
        <v>134</v>
      </c>
      <c r="N107" s="40">
        <v>13.29</v>
      </c>
      <c r="O107" s="117" t="e">
        <f>(1+$N$3)</f>
        <v>#REF!</v>
      </c>
      <c r="P107" s="111" t="e">
        <f t="shared" si="5"/>
        <v>#REF!</v>
      </c>
      <c r="Q107" s="112" t="e">
        <f t="shared" si="14"/>
        <v>#REF!</v>
      </c>
      <c r="R107" s="113" t="s">
        <v>374</v>
      </c>
    </row>
    <row r="108" spans="1:18" s="105" customFormat="1" ht="27" customHeight="1">
      <c r="A108" s="101"/>
      <c r="B108" s="107" t="s">
        <v>448</v>
      </c>
      <c r="C108" s="279" t="s">
        <v>951</v>
      </c>
      <c r="D108" s="278"/>
      <c r="E108" s="278"/>
      <c r="F108" s="278"/>
      <c r="G108" s="278"/>
      <c r="H108" s="278"/>
      <c r="I108" s="278"/>
      <c r="J108" s="278"/>
      <c r="K108" s="278"/>
      <c r="L108" s="108">
        <v>2</v>
      </c>
      <c r="M108" s="109" t="s">
        <v>111</v>
      </c>
      <c r="N108" s="40" t="e">
        <f>#REF!</f>
        <v>#REF!</v>
      </c>
      <c r="O108" s="117" t="e">
        <f>(1+$N$3)</f>
        <v>#REF!</v>
      </c>
      <c r="P108" s="111" t="e">
        <f t="shared" si="5"/>
        <v>#REF!</v>
      </c>
      <c r="Q108" s="112" t="e">
        <f t="shared" si="14"/>
        <v>#REF!</v>
      </c>
      <c r="R108" s="113" t="e">
        <f>#REF!</f>
        <v>#REF!</v>
      </c>
    </row>
    <row r="109" spans="1:18" s="105" customFormat="1" ht="15" customHeight="1">
      <c r="A109" s="101"/>
      <c r="B109" s="107" t="s">
        <v>449</v>
      </c>
      <c r="C109" s="284" t="s">
        <v>376</v>
      </c>
      <c r="D109" s="284"/>
      <c r="E109" s="284"/>
      <c r="F109" s="284"/>
      <c r="G109" s="284"/>
      <c r="H109" s="284"/>
      <c r="I109" s="284"/>
      <c r="J109" s="284"/>
      <c r="K109" s="284"/>
      <c r="L109" s="118">
        <v>1</v>
      </c>
      <c r="M109" s="119" t="s">
        <v>111</v>
      </c>
      <c r="N109" s="182">
        <v>4952.8</v>
      </c>
      <c r="O109" s="124" t="e">
        <f aca="true" t="shared" si="15" ref="O109:O149">(1+$Q$3)</f>
        <v>#REF!</v>
      </c>
      <c r="P109" s="125" t="e">
        <f aca="true" t="shared" si="16" ref="P109:P147">ROUND(N109*O109,2)</f>
        <v>#REF!</v>
      </c>
      <c r="Q109" s="120" t="e">
        <f t="shared" si="14"/>
        <v>#REF!</v>
      </c>
      <c r="R109" s="113" t="s">
        <v>374</v>
      </c>
    </row>
    <row r="110" spans="1:18" s="105" customFormat="1" ht="15" customHeight="1">
      <c r="A110" s="101"/>
      <c r="B110" s="107" t="s">
        <v>450</v>
      </c>
      <c r="C110" s="279" t="s">
        <v>377</v>
      </c>
      <c r="D110" s="278"/>
      <c r="E110" s="278"/>
      <c r="F110" s="278"/>
      <c r="G110" s="278"/>
      <c r="H110" s="278"/>
      <c r="I110" s="278"/>
      <c r="J110" s="278"/>
      <c r="K110" s="278"/>
      <c r="L110" s="108">
        <v>1</v>
      </c>
      <c r="M110" s="109" t="s">
        <v>237</v>
      </c>
      <c r="N110" s="40" t="e">
        <f>#REF!</f>
        <v>#REF!</v>
      </c>
      <c r="O110" s="117" t="e">
        <f t="shared" si="15"/>
        <v>#REF!</v>
      </c>
      <c r="P110" s="111" t="e">
        <f t="shared" si="16"/>
        <v>#REF!</v>
      </c>
      <c r="Q110" s="112" t="e">
        <f t="shared" si="14"/>
        <v>#REF!</v>
      </c>
      <c r="R110" s="113" t="e">
        <f>#REF!</f>
        <v>#REF!</v>
      </c>
    </row>
    <row r="111" spans="1:18" s="105" customFormat="1" ht="15" customHeight="1">
      <c r="A111" s="101"/>
      <c r="B111" s="107" t="s">
        <v>451</v>
      </c>
      <c r="C111" s="275" t="s">
        <v>378</v>
      </c>
      <c r="D111" s="276"/>
      <c r="E111" s="276"/>
      <c r="F111" s="276"/>
      <c r="G111" s="276"/>
      <c r="H111" s="276"/>
      <c r="I111" s="276"/>
      <c r="J111" s="276"/>
      <c r="K111" s="277"/>
      <c r="L111" s="118">
        <v>2</v>
      </c>
      <c r="M111" s="126" t="s">
        <v>111</v>
      </c>
      <c r="N111" s="207">
        <v>0.32</v>
      </c>
      <c r="O111" s="124" t="e">
        <f t="shared" si="15"/>
        <v>#REF!</v>
      </c>
      <c r="P111" s="125" t="e">
        <f t="shared" si="16"/>
        <v>#REF!</v>
      </c>
      <c r="Q111" s="120" t="e">
        <f t="shared" si="14"/>
        <v>#REF!</v>
      </c>
      <c r="R111" s="113" t="s">
        <v>374</v>
      </c>
    </row>
    <row r="112" spans="1:18" s="105" customFormat="1" ht="15" customHeight="1">
      <c r="A112" s="101"/>
      <c r="B112" s="107" t="s">
        <v>452</v>
      </c>
      <c r="C112" s="275" t="s">
        <v>379</v>
      </c>
      <c r="D112" s="276" t="s">
        <v>380</v>
      </c>
      <c r="E112" s="276" t="s">
        <v>380</v>
      </c>
      <c r="F112" s="276" t="s">
        <v>380</v>
      </c>
      <c r="G112" s="276" t="s">
        <v>380</v>
      </c>
      <c r="H112" s="276" t="s">
        <v>380</v>
      </c>
      <c r="I112" s="276" t="s">
        <v>380</v>
      </c>
      <c r="J112" s="276" t="s">
        <v>380</v>
      </c>
      <c r="K112" s="277" t="s">
        <v>380</v>
      </c>
      <c r="L112" s="118">
        <v>2</v>
      </c>
      <c r="M112" s="126" t="s">
        <v>111</v>
      </c>
      <c r="N112" s="207">
        <v>0.6</v>
      </c>
      <c r="O112" s="124" t="e">
        <f t="shared" si="15"/>
        <v>#REF!</v>
      </c>
      <c r="P112" s="125" t="e">
        <f t="shared" si="16"/>
        <v>#REF!</v>
      </c>
      <c r="Q112" s="120" t="e">
        <f t="shared" si="14"/>
        <v>#REF!</v>
      </c>
      <c r="R112" s="113" t="s">
        <v>374</v>
      </c>
    </row>
    <row r="113" spans="1:18" s="105" customFormat="1" ht="15" customHeight="1">
      <c r="A113" s="101"/>
      <c r="B113" s="107" t="s">
        <v>453</v>
      </c>
      <c r="C113" s="275" t="s">
        <v>381</v>
      </c>
      <c r="D113" s="276" t="s">
        <v>381</v>
      </c>
      <c r="E113" s="276" t="s">
        <v>381</v>
      </c>
      <c r="F113" s="276" t="s">
        <v>381</v>
      </c>
      <c r="G113" s="276" t="s">
        <v>381</v>
      </c>
      <c r="H113" s="276" t="s">
        <v>381</v>
      </c>
      <c r="I113" s="276" t="s">
        <v>381</v>
      </c>
      <c r="J113" s="276" t="s">
        <v>381</v>
      </c>
      <c r="K113" s="277" t="s">
        <v>381</v>
      </c>
      <c r="L113" s="118">
        <v>1</v>
      </c>
      <c r="M113" s="126" t="s">
        <v>111</v>
      </c>
      <c r="N113" s="207">
        <v>1.07</v>
      </c>
      <c r="O113" s="124" t="e">
        <f t="shared" si="15"/>
        <v>#REF!</v>
      </c>
      <c r="P113" s="125" t="e">
        <f t="shared" si="16"/>
        <v>#REF!</v>
      </c>
      <c r="Q113" s="120" t="e">
        <f t="shared" si="14"/>
        <v>#REF!</v>
      </c>
      <c r="R113" s="113" t="s">
        <v>374</v>
      </c>
    </row>
    <row r="114" spans="1:18" s="105" customFormat="1" ht="15" customHeight="1">
      <c r="A114" s="101"/>
      <c r="B114" s="107" t="s">
        <v>454</v>
      </c>
      <c r="C114" s="275" t="s">
        <v>382</v>
      </c>
      <c r="D114" s="276" t="s">
        <v>382</v>
      </c>
      <c r="E114" s="276" t="s">
        <v>382</v>
      </c>
      <c r="F114" s="276" t="s">
        <v>382</v>
      </c>
      <c r="G114" s="276" t="s">
        <v>382</v>
      </c>
      <c r="H114" s="276" t="s">
        <v>382</v>
      </c>
      <c r="I114" s="276" t="s">
        <v>382</v>
      </c>
      <c r="J114" s="276" t="s">
        <v>382</v>
      </c>
      <c r="K114" s="277" t="s">
        <v>382</v>
      </c>
      <c r="L114" s="118">
        <v>1</v>
      </c>
      <c r="M114" s="126" t="s">
        <v>111</v>
      </c>
      <c r="N114" s="207">
        <v>8.9</v>
      </c>
      <c r="O114" s="124" t="e">
        <f t="shared" si="15"/>
        <v>#REF!</v>
      </c>
      <c r="P114" s="125" t="e">
        <f t="shared" si="16"/>
        <v>#REF!</v>
      </c>
      <c r="Q114" s="120" t="e">
        <f t="shared" si="14"/>
        <v>#REF!</v>
      </c>
      <c r="R114" s="113" t="s">
        <v>374</v>
      </c>
    </row>
    <row r="115" spans="1:18" s="105" customFormat="1" ht="15" customHeight="1">
      <c r="A115" s="101"/>
      <c r="B115" s="107" t="s">
        <v>455</v>
      </c>
      <c r="C115" s="275" t="s">
        <v>383</v>
      </c>
      <c r="D115" s="276" t="s">
        <v>383</v>
      </c>
      <c r="E115" s="276" t="s">
        <v>383</v>
      </c>
      <c r="F115" s="276" t="s">
        <v>383</v>
      </c>
      <c r="G115" s="276" t="s">
        <v>383</v>
      </c>
      <c r="H115" s="276" t="s">
        <v>383</v>
      </c>
      <c r="I115" s="276" t="s">
        <v>383</v>
      </c>
      <c r="J115" s="276" t="s">
        <v>383</v>
      </c>
      <c r="K115" s="277" t="s">
        <v>383</v>
      </c>
      <c r="L115" s="118">
        <v>5</v>
      </c>
      <c r="M115" s="126" t="s">
        <v>111</v>
      </c>
      <c r="N115" s="207">
        <v>5.35</v>
      </c>
      <c r="O115" s="124" t="e">
        <f t="shared" si="15"/>
        <v>#REF!</v>
      </c>
      <c r="P115" s="125" t="e">
        <f t="shared" si="16"/>
        <v>#REF!</v>
      </c>
      <c r="Q115" s="120" t="e">
        <f t="shared" si="14"/>
        <v>#REF!</v>
      </c>
      <c r="R115" s="113" t="s">
        <v>374</v>
      </c>
    </row>
    <row r="116" spans="1:18" s="105" customFormat="1" ht="15" customHeight="1">
      <c r="A116" s="101"/>
      <c r="B116" s="107" t="s">
        <v>456</v>
      </c>
      <c r="C116" s="275" t="s">
        <v>384</v>
      </c>
      <c r="D116" s="276" t="s">
        <v>384</v>
      </c>
      <c r="E116" s="276" t="s">
        <v>384</v>
      </c>
      <c r="F116" s="276" t="s">
        <v>384</v>
      </c>
      <c r="G116" s="276" t="s">
        <v>384</v>
      </c>
      <c r="H116" s="276" t="s">
        <v>384</v>
      </c>
      <c r="I116" s="276" t="s">
        <v>384</v>
      </c>
      <c r="J116" s="276" t="s">
        <v>384</v>
      </c>
      <c r="K116" s="277" t="s">
        <v>384</v>
      </c>
      <c r="L116" s="118">
        <v>16</v>
      </c>
      <c r="M116" s="126" t="s">
        <v>111</v>
      </c>
      <c r="N116" s="207">
        <v>1.29</v>
      </c>
      <c r="O116" s="124" t="e">
        <f t="shared" si="15"/>
        <v>#REF!</v>
      </c>
      <c r="P116" s="125" t="e">
        <f t="shared" si="16"/>
        <v>#REF!</v>
      </c>
      <c r="Q116" s="120" t="e">
        <f t="shared" si="14"/>
        <v>#REF!</v>
      </c>
      <c r="R116" s="113" t="s">
        <v>374</v>
      </c>
    </row>
    <row r="117" spans="1:18" s="105" customFormat="1" ht="15" customHeight="1">
      <c r="A117" s="101"/>
      <c r="B117" s="107" t="s">
        <v>457</v>
      </c>
      <c r="C117" s="275" t="s">
        <v>385</v>
      </c>
      <c r="D117" s="276" t="s">
        <v>386</v>
      </c>
      <c r="E117" s="276" t="s">
        <v>386</v>
      </c>
      <c r="F117" s="276" t="s">
        <v>386</v>
      </c>
      <c r="G117" s="276" t="s">
        <v>386</v>
      </c>
      <c r="H117" s="276" t="s">
        <v>386</v>
      </c>
      <c r="I117" s="276" t="s">
        <v>386</v>
      </c>
      <c r="J117" s="276" t="s">
        <v>386</v>
      </c>
      <c r="K117" s="277" t="s">
        <v>386</v>
      </c>
      <c r="L117" s="118">
        <v>8</v>
      </c>
      <c r="M117" s="126" t="s">
        <v>111</v>
      </c>
      <c r="N117" s="207">
        <v>7.37</v>
      </c>
      <c r="O117" s="124" t="e">
        <f t="shared" si="15"/>
        <v>#REF!</v>
      </c>
      <c r="P117" s="125" t="e">
        <f t="shared" si="16"/>
        <v>#REF!</v>
      </c>
      <c r="Q117" s="120" t="e">
        <f t="shared" si="14"/>
        <v>#REF!</v>
      </c>
      <c r="R117" s="113" t="s">
        <v>374</v>
      </c>
    </row>
    <row r="118" spans="1:18" s="105" customFormat="1" ht="15" customHeight="1">
      <c r="A118" s="101"/>
      <c r="B118" s="107" t="s">
        <v>458</v>
      </c>
      <c r="C118" s="275" t="s">
        <v>387</v>
      </c>
      <c r="D118" s="276" t="s">
        <v>385</v>
      </c>
      <c r="E118" s="276" t="s">
        <v>385</v>
      </c>
      <c r="F118" s="276" t="s">
        <v>385</v>
      </c>
      <c r="G118" s="276" t="s">
        <v>385</v>
      </c>
      <c r="H118" s="276" t="s">
        <v>385</v>
      </c>
      <c r="I118" s="276" t="s">
        <v>385</v>
      </c>
      <c r="J118" s="276" t="s">
        <v>385</v>
      </c>
      <c r="K118" s="277" t="s">
        <v>385</v>
      </c>
      <c r="L118" s="118">
        <v>5</v>
      </c>
      <c r="M118" s="126" t="s">
        <v>111</v>
      </c>
      <c r="N118" s="207">
        <v>3.33</v>
      </c>
      <c r="O118" s="124" t="e">
        <f t="shared" si="15"/>
        <v>#REF!</v>
      </c>
      <c r="P118" s="125" t="e">
        <f t="shared" si="16"/>
        <v>#REF!</v>
      </c>
      <c r="Q118" s="120" t="e">
        <f t="shared" si="14"/>
        <v>#REF!</v>
      </c>
      <c r="R118" s="113" t="s">
        <v>374</v>
      </c>
    </row>
    <row r="119" spans="1:18" s="105" customFormat="1" ht="15" customHeight="1">
      <c r="A119" s="101"/>
      <c r="B119" s="107" t="s">
        <v>459</v>
      </c>
      <c r="C119" s="275" t="s">
        <v>388</v>
      </c>
      <c r="D119" s="276" t="s">
        <v>388</v>
      </c>
      <c r="E119" s="276" t="s">
        <v>388</v>
      </c>
      <c r="F119" s="276" t="s">
        <v>388</v>
      </c>
      <c r="G119" s="276" t="s">
        <v>388</v>
      </c>
      <c r="H119" s="276" t="s">
        <v>388</v>
      </c>
      <c r="I119" s="276" t="s">
        <v>388</v>
      </c>
      <c r="J119" s="276" t="s">
        <v>388</v>
      </c>
      <c r="K119" s="277" t="s">
        <v>388</v>
      </c>
      <c r="L119" s="118">
        <v>1</v>
      </c>
      <c r="M119" s="126" t="s">
        <v>111</v>
      </c>
      <c r="N119" s="207">
        <v>0.09</v>
      </c>
      <c r="O119" s="124" t="e">
        <f t="shared" si="15"/>
        <v>#REF!</v>
      </c>
      <c r="P119" s="125" t="e">
        <f t="shared" si="16"/>
        <v>#REF!</v>
      </c>
      <c r="Q119" s="120" t="e">
        <f t="shared" si="14"/>
        <v>#REF!</v>
      </c>
      <c r="R119" s="113" t="s">
        <v>374</v>
      </c>
    </row>
    <row r="120" spans="1:18" s="105" customFormat="1" ht="15" customHeight="1">
      <c r="A120" s="101"/>
      <c r="B120" s="107" t="s">
        <v>460</v>
      </c>
      <c r="C120" s="275" t="s">
        <v>389</v>
      </c>
      <c r="D120" s="276" t="s">
        <v>389</v>
      </c>
      <c r="E120" s="276" t="s">
        <v>389</v>
      </c>
      <c r="F120" s="276" t="s">
        <v>389</v>
      </c>
      <c r="G120" s="276" t="s">
        <v>389</v>
      </c>
      <c r="H120" s="276" t="s">
        <v>389</v>
      </c>
      <c r="I120" s="276" t="s">
        <v>389</v>
      </c>
      <c r="J120" s="276" t="s">
        <v>389</v>
      </c>
      <c r="K120" s="277" t="s">
        <v>389</v>
      </c>
      <c r="L120" s="118">
        <v>138</v>
      </c>
      <c r="M120" s="126" t="s">
        <v>111</v>
      </c>
      <c r="N120" s="207">
        <v>0.16</v>
      </c>
      <c r="O120" s="124" t="e">
        <f t="shared" si="15"/>
        <v>#REF!</v>
      </c>
      <c r="P120" s="125" t="e">
        <f t="shared" si="16"/>
        <v>#REF!</v>
      </c>
      <c r="Q120" s="120" t="e">
        <f t="shared" si="14"/>
        <v>#REF!</v>
      </c>
      <c r="R120" s="113" t="s">
        <v>374</v>
      </c>
    </row>
    <row r="121" spans="1:18" s="105" customFormat="1" ht="15" customHeight="1">
      <c r="A121" s="101"/>
      <c r="B121" s="107" t="s">
        <v>509</v>
      </c>
      <c r="C121" s="275" t="s">
        <v>390</v>
      </c>
      <c r="D121" s="276" t="s">
        <v>390</v>
      </c>
      <c r="E121" s="276" t="s">
        <v>390</v>
      </c>
      <c r="F121" s="276" t="s">
        <v>390</v>
      </c>
      <c r="G121" s="276" t="s">
        <v>390</v>
      </c>
      <c r="H121" s="276" t="s">
        <v>390</v>
      </c>
      <c r="I121" s="276" t="s">
        <v>390</v>
      </c>
      <c r="J121" s="276" t="s">
        <v>390</v>
      </c>
      <c r="K121" s="277" t="s">
        <v>390</v>
      </c>
      <c r="L121" s="118">
        <v>1</v>
      </c>
      <c r="M121" s="126" t="s">
        <v>111</v>
      </c>
      <c r="N121" s="207">
        <v>0.1</v>
      </c>
      <c r="O121" s="124" t="e">
        <f t="shared" si="15"/>
        <v>#REF!</v>
      </c>
      <c r="P121" s="125" t="e">
        <f t="shared" si="16"/>
        <v>#REF!</v>
      </c>
      <c r="Q121" s="120" t="e">
        <f t="shared" si="14"/>
        <v>#REF!</v>
      </c>
      <c r="R121" s="113" t="s">
        <v>374</v>
      </c>
    </row>
    <row r="122" spans="1:18" s="105" customFormat="1" ht="15" customHeight="1">
      <c r="A122" s="101"/>
      <c r="B122" s="107" t="s">
        <v>510</v>
      </c>
      <c r="C122" s="275" t="s">
        <v>391</v>
      </c>
      <c r="D122" s="276" t="s">
        <v>391</v>
      </c>
      <c r="E122" s="276" t="s">
        <v>391</v>
      </c>
      <c r="F122" s="276" t="s">
        <v>391</v>
      </c>
      <c r="G122" s="276" t="s">
        <v>391</v>
      </c>
      <c r="H122" s="276" t="s">
        <v>391</v>
      </c>
      <c r="I122" s="276" t="s">
        <v>391</v>
      </c>
      <c r="J122" s="276" t="s">
        <v>391</v>
      </c>
      <c r="K122" s="277" t="s">
        <v>391</v>
      </c>
      <c r="L122" s="118">
        <v>138</v>
      </c>
      <c r="M122" s="126" t="s">
        <v>111</v>
      </c>
      <c r="N122" s="207">
        <v>0.11</v>
      </c>
      <c r="O122" s="124" t="e">
        <f t="shared" si="15"/>
        <v>#REF!</v>
      </c>
      <c r="P122" s="125" t="e">
        <f t="shared" si="16"/>
        <v>#REF!</v>
      </c>
      <c r="Q122" s="120" t="e">
        <f t="shared" si="14"/>
        <v>#REF!</v>
      </c>
      <c r="R122" s="113" t="s">
        <v>374</v>
      </c>
    </row>
    <row r="123" spans="1:18" s="105" customFormat="1" ht="15" customHeight="1">
      <c r="A123" s="101"/>
      <c r="B123" s="107" t="s">
        <v>511</v>
      </c>
      <c r="C123" s="275" t="s">
        <v>392</v>
      </c>
      <c r="D123" s="276" t="s">
        <v>392</v>
      </c>
      <c r="E123" s="276" t="s">
        <v>392</v>
      </c>
      <c r="F123" s="276" t="s">
        <v>392</v>
      </c>
      <c r="G123" s="276" t="s">
        <v>392</v>
      </c>
      <c r="H123" s="276" t="s">
        <v>392</v>
      </c>
      <c r="I123" s="276" t="s">
        <v>392</v>
      </c>
      <c r="J123" s="276" t="s">
        <v>392</v>
      </c>
      <c r="K123" s="277" t="s">
        <v>392</v>
      </c>
      <c r="L123" s="118">
        <v>291</v>
      </c>
      <c r="M123" s="127" t="s">
        <v>78</v>
      </c>
      <c r="N123" s="207">
        <v>1.87</v>
      </c>
      <c r="O123" s="124" t="e">
        <f t="shared" si="15"/>
        <v>#REF!</v>
      </c>
      <c r="P123" s="125" t="e">
        <f t="shared" si="16"/>
        <v>#REF!</v>
      </c>
      <c r="Q123" s="120" t="e">
        <f t="shared" si="14"/>
        <v>#REF!</v>
      </c>
      <c r="R123" s="113" t="s">
        <v>374</v>
      </c>
    </row>
    <row r="124" spans="1:18" s="105" customFormat="1" ht="15" customHeight="1">
      <c r="A124" s="101"/>
      <c r="B124" s="107" t="s">
        <v>512</v>
      </c>
      <c r="C124" s="275" t="s">
        <v>393</v>
      </c>
      <c r="D124" s="276" t="s">
        <v>393</v>
      </c>
      <c r="E124" s="276" t="s">
        <v>393</v>
      </c>
      <c r="F124" s="276" t="s">
        <v>393</v>
      </c>
      <c r="G124" s="276" t="s">
        <v>393</v>
      </c>
      <c r="H124" s="276" t="s">
        <v>393</v>
      </c>
      <c r="I124" s="276" t="s">
        <v>393</v>
      </c>
      <c r="J124" s="276" t="s">
        <v>393</v>
      </c>
      <c r="K124" s="277" t="s">
        <v>393</v>
      </c>
      <c r="L124" s="118">
        <v>413</v>
      </c>
      <c r="M124" s="127" t="s">
        <v>78</v>
      </c>
      <c r="N124" s="207">
        <v>4.56</v>
      </c>
      <c r="O124" s="124" t="e">
        <f t="shared" si="15"/>
        <v>#REF!</v>
      </c>
      <c r="P124" s="125" t="e">
        <f t="shared" si="16"/>
        <v>#REF!</v>
      </c>
      <c r="Q124" s="120" t="e">
        <f t="shared" si="14"/>
        <v>#REF!</v>
      </c>
      <c r="R124" s="113" t="s">
        <v>374</v>
      </c>
    </row>
    <row r="125" spans="1:21" s="105" customFormat="1" ht="15" customHeight="1">
      <c r="A125" s="101"/>
      <c r="B125" s="107" t="s">
        <v>513</v>
      </c>
      <c r="C125" s="275" t="s">
        <v>394</v>
      </c>
      <c r="D125" s="276" t="s">
        <v>394</v>
      </c>
      <c r="E125" s="276" t="s">
        <v>394</v>
      </c>
      <c r="F125" s="276" t="s">
        <v>394</v>
      </c>
      <c r="G125" s="276" t="s">
        <v>394</v>
      </c>
      <c r="H125" s="276" t="s">
        <v>394</v>
      </c>
      <c r="I125" s="276" t="s">
        <v>394</v>
      </c>
      <c r="J125" s="276" t="s">
        <v>394</v>
      </c>
      <c r="K125" s="277" t="s">
        <v>394</v>
      </c>
      <c r="L125" s="118">
        <v>60</v>
      </c>
      <c r="M125" s="127" t="s">
        <v>78</v>
      </c>
      <c r="N125" s="207">
        <v>2.49</v>
      </c>
      <c r="O125" s="124" t="e">
        <f t="shared" si="15"/>
        <v>#REF!</v>
      </c>
      <c r="P125" s="125" t="e">
        <f t="shared" si="16"/>
        <v>#REF!</v>
      </c>
      <c r="Q125" s="120" t="e">
        <f t="shared" si="14"/>
        <v>#REF!</v>
      </c>
      <c r="R125" s="113" t="s">
        <v>374</v>
      </c>
      <c r="U125" s="214"/>
    </row>
    <row r="126" spans="1:18" s="105" customFormat="1" ht="15" customHeight="1">
      <c r="A126" s="101"/>
      <c r="B126" s="107" t="s">
        <v>514</v>
      </c>
      <c r="C126" s="275" t="s">
        <v>592</v>
      </c>
      <c r="D126" s="276" t="s">
        <v>395</v>
      </c>
      <c r="E126" s="276" t="s">
        <v>395</v>
      </c>
      <c r="F126" s="276" t="s">
        <v>395</v>
      </c>
      <c r="G126" s="276" t="s">
        <v>395</v>
      </c>
      <c r="H126" s="276" t="s">
        <v>395</v>
      </c>
      <c r="I126" s="276" t="s">
        <v>395</v>
      </c>
      <c r="J126" s="276" t="s">
        <v>395</v>
      </c>
      <c r="K126" s="277" t="s">
        <v>395</v>
      </c>
      <c r="L126" s="118">
        <v>1</v>
      </c>
      <c r="M126" s="126" t="s">
        <v>111</v>
      </c>
      <c r="N126" s="207">
        <v>4.82</v>
      </c>
      <c r="O126" s="124" t="e">
        <f t="shared" si="15"/>
        <v>#REF!</v>
      </c>
      <c r="P126" s="125" t="e">
        <f t="shared" si="16"/>
        <v>#REF!</v>
      </c>
      <c r="Q126" s="120" t="e">
        <f t="shared" si="14"/>
        <v>#REF!</v>
      </c>
      <c r="R126" s="113" t="s">
        <v>374</v>
      </c>
    </row>
    <row r="127" spans="1:18" s="105" customFormat="1" ht="15" customHeight="1">
      <c r="A127" s="101"/>
      <c r="B127" s="107" t="s">
        <v>515</v>
      </c>
      <c r="C127" s="275" t="s">
        <v>396</v>
      </c>
      <c r="D127" s="276" t="s">
        <v>396</v>
      </c>
      <c r="E127" s="276" t="s">
        <v>396</v>
      </c>
      <c r="F127" s="276" t="s">
        <v>396</v>
      </c>
      <c r="G127" s="276" t="s">
        <v>396</v>
      </c>
      <c r="H127" s="276" t="s">
        <v>396</v>
      </c>
      <c r="I127" s="276" t="s">
        <v>396</v>
      </c>
      <c r="J127" s="276" t="s">
        <v>396</v>
      </c>
      <c r="K127" s="277" t="s">
        <v>396</v>
      </c>
      <c r="L127" s="118">
        <v>1</v>
      </c>
      <c r="M127" s="126" t="s">
        <v>111</v>
      </c>
      <c r="N127" s="207">
        <v>34.7</v>
      </c>
      <c r="O127" s="124" t="e">
        <f t="shared" si="15"/>
        <v>#REF!</v>
      </c>
      <c r="P127" s="125" t="e">
        <f t="shared" si="16"/>
        <v>#REF!</v>
      </c>
      <c r="Q127" s="120" t="e">
        <f t="shared" si="14"/>
        <v>#REF!</v>
      </c>
      <c r="R127" s="113" t="s">
        <v>374</v>
      </c>
    </row>
    <row r="128" spans="1:18" s="105" customFormat="1" ht="27" customHeight="1">
      <c r="A128" s="101"/>
      <c r="B128" s="107" t="s">
        <v>516</v>
      </c>
      <c r="C128" s="275" t="s">
        <v>397</v>
      </c>
      <c r="D128" s="276" t="s">
        <v>397</v>
      </c>
      <c r="E128" s="276" t="s">
        <v>397</v>
      </c>
      <c r="F128" s="276" t="s">
        <v>397</v>
      </c>
      <c r="G128" s="276" t="s">
        <v>397</v>
      </c>
      <c r="H128" s="276" t="s">
        <v>397</v>
      </c>
      <c r="I128" s="276" t="s">
        <v>397</v>
      </c>
      <c r="J128" s="276" t="s">
        <v>397</v>
      </c>
      <c r="K128" s="277" t="s">
        <v>397</v>
      </c>
      <c r="L128" s="118">
        <v>1</v>
      </c>
      <c r="M128" s="126" t="s">
        <v>111</v>
      </c>
      <c r="N128" s="207">
        <v>2.1</v>
      </c>
      <c r="O128" s="124" t="e">
        <f t="shared" si="15"/>
        <v>#REF!</v>
      </c>
      <c r="P128" s="125" t="e">
        <f t="shared" si="16"/>
        <v>#REF!</v>
      </c>
      <c r="Q128" s="120" t="e">
        <f t="shared" si="14"/>
        <v>#REF!</v>
      </c>
      <c r="R128" s="113" t="s">
        <v>374</v>
      </c>
    </row>
    <row r="129" spans="1:18" s="105" customFormat="1" ht="15" customHeight="1">
      <c r="A129" s="101"/>
      <c r="B129" s="107" t="s">
        <v>517</v>
      </c>
      <c r="C129" s="275" t="s">
        <v>398</v>
      </c>
      <c r="D129" s="276" t="s">
        <v>398</v>
      </c>
      <c r="E129" s="276" t="s">
        <v>398</v>
      </c>
      <c r="F129" s="276" t="s">
        <v>398</v>
      </c>
      <c r="G129" s="276" t="s">
        <v>398</v>
      </c>
      <c r="H129" s="276" t="s">
        <v>398</v>
      </c>
      <c r="I129" s="276" t="s">
        <v>398</v>
      </c>
      <c r="J129" s="276" t="s">
        <v>398</v>
      </c>
      <c r="K129" s="277" t="s">
        <v>398</v>
      </c>
      <c r="L129" s="118">
        <v>3</v>
      </c>
      <c r="M129" s="126" t="s">
        <v>111</v>
      </c>
      <c r="N129" s="207">
        <v>70.65</v>
      </c>
      <c r="O129" s="124" t="e">
        <f t="shared" si="15"/>
        <v>#REF!</v>
      </c>
      <c r="P129" s="125" t="e">
        <f t="shared" si="16"/>
        <v>#REF!</v>
      </c>
      <c r="Q129" s="120" t="e">
        <f t="shared" si="14"/>
        <v>#REF!</v>
      </c>
      <c r="R129" s="113" t="s">
        <v>374</v>
      </c>
    </row>
    <row r="130" spans="1:18" s="105" customFormat="1" ht="15" customHeight="1">
      <c r="A130" s="101"/>
      <c r="B130" s="107" t="s">
        <v>518</v>
      </c>
      <c r="C130" s="275" t="s">
        <v>399</v>
      </c>
      <c r="D130" s="276" t="s">
        <v>399</v>
      </c>
      <c r="E130" s="276" t="s">
        <v>399</v>
      </c>
      <c r="F130" s="276" t="s">
        <v>399</v>
      </c>
      <c r="G130" s="276" t="s">
        <v>399</v>
      </c>
      <c r="H130" s="276" t="s">
        <v>399</v>
      </c>
      <c r="I130" s="276" t="s">
        <v>399</v>
      </c>
      <c r="J130" s="276" t="s">
        <v>399</v>
      </c>
      <c r="K130" s="277" t="s">
        <v>399</v>
      </c>
      <c r="L130" s="118">
        <v>1</v>
      </c>
      <c r="M130" s="126" t="s">
        <v>111</v>
      </c>
      <c r="N130" s="207">
        <v>49.49</v>
      </c>
      <c r="O130" s="124" t="e">
        <f t="shared" si="15"/>
        <v>#REF!</v>
      </c>
      <c r="P130" s="125" t="e">
        <f t="shared" si="16"/>
        <v>#REF!</v>
      </c>
      <c r="Q130" s="120" t="e">
        <f t="shared" si="14"/>
        <v>#REF!</v>
      </c>
      <c r="R130" s="113" t="s">
        <v>374</v>
      </c>
    </row>
    <row r="131" spans="1:18" s="105" customFormat="1" ht="15" customHeight="1">
      <c r="A131" s="101"/>
      <c r="B131" s="107" t="s">
        <v>519</v>
      </c>
      <c r="C131" s="275" t="s">
        <v>400</v>
      </c>
      <c r="D131" s="276" t="s">
        <v>400</v>
      </c>
      <c r="E131" s="276" t="s">
        <v>400</v>
      </c>
      <c r="F131" s="276" t="s">
        <v>400</v>
      </c>
      <c r="G131" s="276" t="s">
        <v>400</v>
      </c>
      <c r="H131" s="276" t="s">
        <v>400</v>
      </c>
      <c r="I131" s="276" t="s">
        <v>400</v>
      </c>
      <c r="J131" s="276" t="s">
        <v>400</v>
      </c>
      <c r="K131" s="277" t="s">
        <v>400</v>
      </c>
      <c r="L131" s="118">
        <v>4</v>
      </c>
      <c r="M131" s="126" t="s">
        <v>111</v>
      </c>
      <c r="N131" s="207">
        <v>58.49</v>
      </c>
      <c r="O131" s="124" t="e">
        <f t="shared" si="15"/>
        <v>#REF!</v>
      </c>
      <c r="P131" s="125" t="e">
        <f t="shared" si="16"/>
        <v>#REF!</v>
      </c>
      <c r="Q131" s="120" t="e">
        <f t="shared" si="14"/>
        <v>#REF!</v>
      </c>
      <c r="R131" s="113" t="s">
        <v>374</v>
      </c>
    </row>
    <row r="132" spans="1:18" s="105" customFormat="1" ht="15" customHeight="1">
      <c r="A132" s="101"/>
      <c r="B132" s="107" t="s">
        <v>520</v>
      </c>
      <c r="C132" s="275" t="s">
        <v>401</v>
      </c>
      <c r="D132" s="276" t="s">
        <v>401</v>
      </c>
      <c r="E132" s="276" t="s">
        <v>401</v>
      </c>
      <c r="F132" s="276" t="s">
        <v>401</v>
      </c>
      <c r="G132" s="276" t="s">
        <v>401</v>
      </c>
      <c r="H132" s="276" t="s">
        <v>401</v>
      </c>
      <c r="I132" s="276" t="s">
        <v>401</v>
      </c>
      <c r="J132" s="276" t="s">
        <v>401</v>
      </c>
      <c r="K132" s="277" t="s">
        <v>401</v>
      </c>
      <c r="L132" s="118">
        <v>1</v>
      </c>
      <c r="M132" s="126" t="s">
        <v>111</v>
      </c>
      <c r="N132" s="207">
        <v>89.15</v>
      </c>
      <c r="O132" s="124" t="e">
        <f t="shared" si="15"/>
        <v>#REF!</v>
      </c>
      <c r="P132" s="125" t="e">
        <f t="shared" si="16"/>
        <v>#REF!</v>
      </c>
      <c r="Q132" s="120" t="e">
        <f t="shared" si="14"/>
        <v>#REF!</v>
      </c>
      <c r="R132" s="113" t="s">
        <v>374</v>
      </c>
    </row>
    <row r="133" spans="1:18" s="105" customFormat="1" ht="12">
      <c r="A133" s="101"/>
      <c r="B133" s="107" t="s">
        <v>521</v>
      </c>
      <c r="C133" s="275" t="s">
        <v>402</v>
      </c>
      <c r="D133" s="276" t="s">
        <v>402</v>
      </c>
      <c r="E133" s="276" t="s">
        <v>402</v>
      </c>
      <c r="F133" s="276" t="s">
        <v>402</v>
      </c>
      <c r="G133" s="276" t="s">
        <v>402</v>
      </c>
      <c r="H133" s="276" t="s">
        <v>402</v>
      </c>
      <c r="I133" s="276" t="s">
        <v>402</v>
      </c>
      <c r="J133" s="276" t="s">
        <v>402</v>
      </c>
      <c r="K133" s="277" t="s">
        <v>402</v>
      </c>
      <c r="L133" s="118">
        <v>17.6</v>
      </c>
      <c r="M133" s="127" t="s">
        <v>78</v>
      </c>
      <c r="N133" s="207">
        <v>5.62</v>
      </c>
      <c r="O133" s="124" t="e">
        <f t="shared" si="15"/>
        <v>#REF!</v>
      </c>
      <c r="P133" s="125" t="e">
        <f t="shared" si="16"/>
        <v>#REF!</v>
      </c>
      <c r="Q133" s="120" t="e">
        <f t="shared" si="14"/>
        <v>#REF!</v>
      </c>
      <c r="R133" s="113" t="s">
        <v>374</v>
      </c>
    </row>
    <row r="134" spans="1:18" s="105" customFormat="1" ht="15" customHeight="1">
      <c r="A134" s="101"/>
      <c r="B134" s="107" t="s">
        <v>522</v>
      </c>
      <c r="C134" s="275" t="s">
        <v>403</v>
      </c>
      <c r="D134" s="276" t="s">
        <v>403</v>
      </c>
      <c r="E134" s="276" t="s">
        <v>403</v>
      </c>
      <c r="F134" s="276" t="s">
        <v>403</v>
      </c>
      <c r="G134" s="276" t="s">
        <v>403</v>
      </c>
      <c r="H134" s="276" t="s">
        <v>403</v>
      </c>
      <c r="I134" s="276" t="s">
        <v>403</v>
      </c>
      <c r="J134" s="276" t="s">
        <v>403</v>
      </c>
      <c r="K134" s="277" t="s">
        <v>403</v>
      </c>
      <c r="L134" s="118">
        <v>64</v>
      </c>
      <c r="M134" s="126" t="s">
        <v>111</v>
      </c>
      <c r="N134" s="207">
        <v>1.57</v>
      </c>
      <c r="O134" s="124" t="e">
        <f t="shared" si="15"/>
        <v>#REF!</v>
      </c>
      <c r="P134" s="125" t="e">
        <f t="shared" si="16"/>
        <v>#REF!</v>
      </c>
      <c r="Q134" s="120" t="e">
        <f t="shared" si="14"/>
        <v>#REF!</v>
      </c>
      <c r="R134" s="113" t="s">
        <v>374</v>
      </c>
    </row>
    <row r="135" spans="1:18" s="105" customFormat="1" ht="15" customHeight="1">
      <c r="A135" s="101"/>
      <c r="B135" s="107" t="s">
        <v>523</v>
      </c>
      <c r="C135" s="275" t="s">
        <v>404</v>
      </c>
      <c r="D135" s="276" t="s">
        <v>404</v>
      </c>
      <c r="E135" s="276" t="s">
        <v>404</v>
      </c>
      <c r="F135" s="276" t="s">
        <v>404</v>
      </c>
      <c r="G135" s="276" t="s">
        <v>404</v>
      </c>
      <c r="H135" s="276" t="s">
        <v>404</v>
      </c>
      <c r="I135" s="276" t="s">
        <v>404</v>
      </c>
      <c r="J135" s="276" t="s">
        <v>404</v>
      </c>
      <c r="K135" s="277" t="s">
        <v>404</v>
      </c>
      <c r="L135" s="118">
        <v>17</v>
      </c>
      <c r="M135" s="126" t="s">
        <v>111</v>
      </c>
      <c r="N135" s="207">
        <v>1.49</v>
      </c>
      <c r="O135" s="124" t="e">
        <f t="shared" si="15"/>
        <v>#REF!</v>
      </c>
      <c r="P135" s="125" t="e">
        <f t="shared" si="16"/>
        <v>#REF!</v>
      </c>
      <c r="Q135" s="120" t="e">
        <f t="shared" si="14"/>
        <v>#REF!</v>
      </c>
      <c r="R135" s="113" t="s">
        <v>374</v>
      </c>
    </row>
    <row r="136" spans="1:18" s="105" customFormat="1" ht="15" customHeight="1">
      <c r="A136" s="101"/>
      <c r="B136" s="107" t="s">
        <v>524</v>
      </c>
      <c r="C136" s="275" t="s">
        <v>405</v>
      </c>
      <c r="D136" s="276" t="s">
        <v>405</v>
      </c>
      <c r="E136" s="276" t="s">
        <v>405</v>
      </c>
      <c r="F136" s="276" t="s">
        <v>405</v>
      </c>
      <c r="G136" s="276" t="s">
        <v>405</v>
      </c>
      <c r="H136" s="276" t="s">
        <v>405</v>
      </c>
      <c r="I136" s="276" t="s">
        <v>405</v>
      </c>
      <c r="J136" s="276" t="s">
        <v>405</v>
      </c>
      <c r="K136" s="277" t="s">
        <v>405</v>
      </c>
      <c r="L136" s="118">
        <v>72.3</v>
      </c>
      <c r="M136" s="127" t="s">
        <v>78</v>
      </c>
      <c r="N136" s="207">
        <v>6.19</v>
      </c>
      <c r="O136" s="124" t="e">
        <f t="shared" si="15"/>
        <v>#REF!</v>
      </c>
      <c r="P136" s="125" t="e">
        <f t="shared" si="16"/>
        <v>#REF!</v>
      </c>
      <c r="Q136" s="120" t="e">
        <f t="shared" si="14"/>
        <v>#REF!</v>
      </c>
      <c r="R136" s="113" t="s">
        <v>374</v>
      </c>
    </row>
    <row r="137" spans="1:18" s="105" customFormat="1" ht="15" customHeight="1">
      <c r="A137" s="101"/>
      <c r="B137" s="107" t="s">
        <v>687</v>
      </c>
      <c r="C137" s="275" t="s">
        <v>406</v>
      </c>
      <c r="D137" s="276" t="s">
        <v>406</v>
      </c>
      <c r="E137" s="276" t="s">
        <v>406</v>
      </c>
      <c r="F137" s="276" t="s">
        <v>406</v>
      </c>
      <c r="G137" s="276" t="s">
        <v>406</v>
      </c>
      <c r="H137" s="276" t="s">
        <v>406</v>
      </c>
      <c r="I137" s="276" t="s">
        <v>406</v>
      </c>
      <c r="J137" s="276" t="s">
        <v>406</v>
      </c>
      <c r="K137" s="277" t="s">
        <v>406</v>
      </c>
      <c r="L137" s="118">
        <v>19</v>
      </c>
      <c r="M137" s="127" t="s">
        <v>78</v>
      </c>
      <c r="N137" s="207">
        <v>4.02</v>
      </c>
      <c r="O137" s="124" t="e">
        <f t="shared" si="15"/>
        <v>#REF!</v>
      </c>
      <c r="P137" s="125" t="e">
        <f t="shared" si="16"/>
        <v>#REF!</v>
      </c>
      <c r="Q137" s="120" t="e">
        <f t="shared" si="14"/>
        <v>#REF!</v>
      </c>
      <c r="R137" s="113" t="s">
        <v>374</v>
      </c>
    </row>
    <row r="138" spans="1:18" s="105" customFormat="1" ht="15" customHeight="1">
      <c r="A138" s="101"/>
      <c r="B138" s="107" t="s">
        <v>688</v>
      </c>
      <c r="C138" s="275" t="s">
        <v>407</v>
      </c>
      <c r="D138" s="276" t="s">
        <v>407</v>
      </c>
      <c r="E138" s="276" t="s">
        <v>407</v>
      </c>
      <c r="F138" s="276" t="s">
        <v>407</v>
      </c>
      <c r="G138" s="276" t="s">
        <v>407</v>
      </c>
      <c r="H138" s="276" t="s">
        <v>407</v>
      </c>
      <c r="I138" s="276" t="s">
        <v>407</v>
      </c>
      <c r="J138" s="276" t="s">
        <v>407</v>
      </c>
      <c r="K138" s="277" t="s">
        <v>407</v>
      </c>
      <c r="L138" s="118">
        <v>32</v>
      </c>
      <c r="M138" s="126" t="s">
        <v>111</v>
      </c>
      <c r="N138" s="207">
        <v>3</v>
      </c>
      <c r="O138" s="124" t="e">
        <f t="shared" si="15"/>
        <v>#REF!</v>
      </c>
      <c r="P138" s="125" t="e">
        <f t="shared" si="16"/>
        <v>#REF!</v>
      </c>
      <c r="Q138" s="120" t="e">
        <f t="shared" si="14"/>
        <v>#REF!</v>
      </c>
      <c r="R138" s="113" t="s">
        <v>374</v>
      </c>
    </row>
    <row r="139" spans="1:18" s="105" customFormat="1" ht="15" customHeight="1">
      <c r="A139" s="123"/>
      <c r="B139" s="107" t="s">
        <v>800</v>
      </c>
      <c r="C139" s="275" t="s">
        <v>408</v>
      </c>
      <c r="D139" s="276" t="s">
        <v>409</v>
      </c>
      <c r="E139" s="276" t="s">
        <v>409</v>
      </c>
      <c r="F139" s="276" t="s">
        <v>409</v>
      </c>
      <c r="G139" s="276" t="s">
        <v>409</v>
      </c>
      <c r="H139" s="276" t="s">
        <v>409</v>
      </c>
      <c r="I139" s="276" t="s">
        <v>409</v>
      </c>
      <c r="J139" s="276" t="s">
        <v>409</v>
      </c>
      <c r="K139" s="277" t="s">
        <v>409</v>
      </c>
      <c r="L139" s="118">
        <v>25</v>
      </c>
      <c r="M139" s="126" t="s">
        <v>111</v>
      </c>
      <c r="N139" s="207">
        <v>3.15</v>
      </c>
      <c r="O139" s="124" t="e">
        <f t="shared" si="15"/>
        <v>#REF!</v>
      </c>
      <c r="P139" s="125" t="e">
        <f t="shared" si="16"/>
        <v>#REF!</v>
      </c>
      <c r="Q139" s="120" t="e">
        <f t="shared" si="14"/>
        <v>#REF!</v>
      </c>
      <c r="R139" s="113" t="s">
        <v>374</v>
      </c>
    </row>
    <row r="140" spans="1:18" s="122" customFormat="1" ht="15" customHeight="1">
      <c r="A140" s="121"/>
      <c r="B140" s="107" t="s">
        <v>801</v>
      </c>
      <c r="C140" s="275" t="s">
        <v>410</v>
      </c>
      <c r="D140" s="276" t="s">
        <v>410</v>
      </c>
      <c r="E140" s="276" t="s">
        <v>410</v>
      </c>
      <c r="F140" s="276" t="s">
        <v>410</v>
      </c>
      <c r="G140" s="276" t="s">
        <v>410</v>
      </c>
      <c r="H140" s="276" t="s">
        <v>410</v>
      </c>
      <c r="I140" s="276" t="s">
        <v>410</v>
      </c>
      <c r="J140" s="276" t="s">
        <v>410</v>
      </c>
      <c r="K140" s="277" t="s">
        <v>410</v>
      </c>
      <c r="L140" s="118">
        <v>61.7</v>
      </c>
      <c r="M140" s="126" t="s">
        <v>78</v>
      </c>
      <c r="N140" s="207">
        <v>15</v>
      </c>
      <c r="O140" s="124" t="e">
        <f t="shared" si="15"/>
        <v>#REF!</v>
      </c>
      <c r="P140" s="125" t="e">
        <f t="shared" si="16"/>
        <v>#REF!</v>
      </c>
      <c r="Q140" s="120" t="e">
        <f t="shared" si="14"/>
        <v>#REF!</v>
      </c>
      <c r="R140" s="113" t="s">
        <v>374</v>
      </c>
    </row>
    <row r="141" spans="1:18" s="122" customFormat="1" ht="15" customHeight="1">
      <c r="A141" s="121"/>
      <c r="B141" s="107" t="s">
        <v>802</v>
      </c>
      <c r="C141" s="275" t="s">
        <v>411</v>
      </c>
      <c r="D141" s="276" t="s">
        <v>412</v>
      </c>
      <c r="E141" s="276" t="s">
        <v>412</v>
      </c>
      <c r="F141" s="276" t="s">
        <v>412</v>
      </c>
      <c r="G141" s="276" t="s">
        <v>412</v>
      </c>
      <c r="H141" s="276" t="s">
        <v>412</v>
      </c>
      <c r="I141" s="276" t="s">
        <v>412</v>
      </c>
      <c r="J141" s="276" t="s">
        <v>412</v>
      </c>
      <c r="K141" s="277" t="s">
        <v>412</v>
      </c>
      <c r="L141" s="118">
        <v>10</v>
      </c>
      <c r="M141" s="127" t="s">
        <v>111</v>
      </c>
      <c r="N141" s="207">
        <v>121.16</v>
      </c>
      <c r="O141" s="124" t="e">
        <f t="shared" si="15"/>
        <v>#REF!</v>
      </c>
      <c r="P141" s="125" t="e">
        <f t="shared" si="16"/>
        <v>#REF!</v>
      </c>
      <c r="Q141" s="120" t="e">
        <f t="shared" si="14"/>
        <v>#REF!</v>
      </c>
      <c r="R141" s="113" t="s">
        <v>374</v>
      </c>
    </row>
    <row r="142" spans="1:18" s="122" customFormat="1" ht="15" customHeight="1">
      <c r="A142" s="121"/>
      <c r="B142" s="107" t="s">
        <v>803</v>
      </c>
      <c r="C142" s="275" t="s">
        <v>413</v>
      </c>
      <c r="D142" s="276" t="s">
        <v>414</v>
      </c>
      <c r="E142" s="276" t="s">
        <v>414</v>
      </c>
      <c r="F142" s="276" t="s">
        <v>414</v>
      </c>
      <c r="G142" s="276" t="s">
        <v>414</v>
      </c>
      <c r="H142" s="276" t="s">
        <v>414</v>
      </c>
      <c r="I142" s="276" t="s">
        <v>414</v>
      </c>
      <c r="J142" s="276" t="s">
        <v>414</v>
      </c>
      <c r="K142" s="277" t="s">
        <v>414</v>
      </c>
      <c r="L142" s="118">
        <v>10</v>
      </c>
      <c r="M142" s="127" t="s">
        <v>111</v>
      </c>
      <c r="N142" s="207">
        <v>35.95</v>
      </c>
      <c r="O142" s="124" t="e">
        <f t="shared" si="15"/>
        <v>#REF!</v>
      </c>
      <c r="P142" s="125" t="e">
        <f t="shared" si="16"/>
        <v>#REF!</v>
      </c>
      <c r="Q142" s="120" t="e">
        <f t="shared" si="14"/>
        <v>#REF!</v>
      </c>
      <c r="R142" s="113" t="s">
        <v>374</v>
      </c>
    </row>
    <row r="143" spans="1:18" s="105" customFormat="1" ht="25.5" customHeight="1">
      <c r="A143" s="101"/>
      <c r="B143" s="107" t="s">
        <v>804</v>
      </c>
      <c r="C143" s="275" t="s">
        <v>415</v>
      </c>
      <c r="D143" s="276" t="s">
        <v>415</v>
      </c>
      <c r="E143" s="276" t="s">
        <v>415</v>
      </c>
      <c r="F143" s="276" t="s">
        <v>415</v>
      </c>
      <c r="G143" s="276" t="s">
        <v>415</v>
      </c>
      <c r="H143" s="276" t="s">
        <v>415</v>
      </c>
      <c r="I143" s="276" t="s">
        <v>415</v>
      </c>
      <c r="J143" s="276" t="s">
        <v>415</v>
      </c>
      <c r="K143" s="277" t="s">
        <v>415</v>
      </c>
      <c r="L143" s="118">
        <v>1</v>
      </c>
      <c r="M143" s="127" t="s">
        <v>111</v>
      </c>
      <c r="N143" s="207">
        <v>337.86</v>
      </c>
      <c r="O143" s="124" t="e">
        <f t="shared" si="15"/>
        <v>#REF!</v>
      </c>
      <c r="P143" s="125" t="e">
        <f t="shared" si="16"/>
        <v>#REF!</v>
      </c>
      <c r="Q143" s="120" t="e">
        <f t="shared" si="14"/>
        <v>#REF!</v>
      </c>
      <c r="R143" s="113" t="s">
        <v>374</v>
      </c>
    </row>
    <row r="144" spans="1:18" s="105" customFormat="1" ht="12">
      <c r="A144" s="101"/>
      <c r="B144" s="107" t="s">
        <v>805</v>
      </c>
      <c r="C144" s="286" t="s">
        <v>416</v>
      </c>
      <c r="D144" s="273"/>
      <c r="E144" s="273"/>
      <c r="F144" s="273"/>
      <c r="G144" s="273"/>
      <c r="H144" s="273"/>
      <c r="I144" s="273"/>
      <c r="J144" s="273"/>
      <c r="K144" s="274"/>
      <c r="L144" s="108">
        <v>1</v>
      </c>
      <c r="M144" s="128" t="s">
        <v>111</v>
      </c>
      <c r="N144" s="76" t="e">
        <f>#REF!</f>
        <v>#REF!</v>
      </c>
      <c r="O144" s="117" t="e">
        <f t="shared" si="15"/>
        <v>#REF!</v>
      </c>
      <c r="P144" s="111" t="e">
        <f t="shared" si="16"/>
        <v>#REF!</v>
      </c>
      <c r="Q144" s="112" t="e">
        <f t="shared" si="14"/>
        <v>#REF!</v>
      </c>
      <c r="R144" s="113" t="e">
        <f>#REF!</f>
        <v>#REF!</v>
      </c>
    </row>
    <row r="145" spans="1:18" s="105" customFormat="1" ht="12">
      <c r="A145" s="101"/>
      <c r="B145" s="107" t="s">
        <v>806</v>
      </c>
      <c r="C145" s="285" t="s">
        <v>417</v>
      </c>
      <c r="D145" s="281"/>
      <c r="E145" s="281"/>
      <c r="F145" s="281"/>
      <c r="G145" s="281"/>
      <c r="H145" s="281"/>
      <c r="I145" s="281"/>
      <c r="J145" s="281"/>
      <c r="K145" s="282"/>
      <c r="L145" s="108">
        <v>1</v>
      </c>
      <c r="M145" s="128" t="s">
        <v>111</v>
      </c>
      <c r="N145" s="76" t="e">
        <f>#REF!</f>
        <v>#REF!</v>
      </c>
      <c r="O145" s="117" t="e">
        <f t="shared" si="15"/>
        <v>#REF!</v>
      </c>
      <c r="P145" s="111" t="e">
        <f t="shared" si="16"/>
        <v>#REF!</v>
      </c>
      <c r="Q145" s="112" t="e">
        <f t="shared" si="14"/>
        <v>#REF!</v>
      </c>
      <c r="R145" s="113" t="e">
        <f>#REF!</f>
        <v>#REF!</v>
      </c>
    </row>
    <row r="146" spans="1:18" s="105" customFormat="1" ht="12">
      <c r="A146" s="101"/>
      <c r="B146" s="107" t="s">
        <v>807</v>
      </c>
      <c r="C146" s="278" t="s">
        <v>418</v>
      </c>
      <c r="D146" s="278"/>
      <c r="E146" s="278"/>
      <c r="F146" s="278"/>
      <c r="G146" s="278"/>
      <c r="H146" s="278"/>
      <c r="I146" s="278"/>
      <c r="J146" s="278"/>
      <c r="K146" s="278"/>
      <c r="L146" s="108">
        <v>30</v>
      </c>
      <c r="M146" s="128" t="s">
        <v>134</v>
      </c>
      <c r="N146" s="76">
        <v>77</v>
      </c>
      <c r="O146" s="117" t="e">
        <f t="shared" si="15"/>
        <v>#REF!</v>
      </c>
      <c r="P146" s="111" t="e">
        <f t="shared" si="16"/>
        <v>#REF!</v>
      </c>
      <c r="Q146" s="112" t="e">
        <f t="shared" si="14"/>
        <v>#REF!</v>
      </c>
      <c r="R146" s="113" t="s">
        <v>374</v>
      </c>
    </row>
    <row r="147" spans="1:18" s="105" customFormat="1" ht="15" customHeight="1">
      <c r="A147" s="101"/>
      <c r="B147" s="107" t="s">
        <v>808</v>
      </c>
      <c r="C147" s="272" t="s">
        <v>419</v>
      </c>
      <c r="D147" s="273"/>
      <c r="E147" s="273"/>
      <c r="F147" s="273"/>
      <c r="G147" s="273"/>
      <c r="H147" s="273"/>
      <c r="I147" s="273"/>
      <c r="J147" s="273"/>
      <c r="K147" s="274"/>
      <c r="L147" s="108">
        <v>100</v>
      </c>
      <c r="M147" s="128" t="s">
        <v>78</v>
      </c>
      <c r="N147" s="76">
        <v>100</v>
      </c>
      <c r="O147" s="117" t="e">
        <f t="shared" si="15"/>
        <v>#REF!</v>
      </c>
      <c r="P147" s="111" t="e">
        <f t="shared" si="16"/>
        <v>#REF!</v>
      </c>
      <c r="Q147" s="112" t="e">
        <f t="shared" si="14"/>
        <v>#REF!</v>
      </c>
      <c r="R147" s="113" t="s">
        <v>374</v>
      </c>
    </row>
    <row r="148" spans="1:18" s="105" customFormat="1" ht="15" customHeight="1">
      <c r="A148" s="101"/>
      <c r="B148" s="107" t="s">
        <v>809</v>
      </c>
      <c r="C148" s="272" t="s">
        <v>686</v>
      </c>
      <c r="D148" s="273"/>
      <c r="E148" s="273"/>
      <c r="F148" s="273"/>
      <c r="G148" s="273"/>
      <c r="H148" s="273"/>
      <c r="I148" s="273"/>
      <c r="J148" s="273"/>
      <c r="K148" s="274"/>
      <c r="L148" s="108">
        <v>1</v>
      </c>
      <c r="M148" s="128" t="s">
        <v>111</v>
      </c>
      <c r="N148" s="76">
        <v>8000</v>
      </c>
      <c r="O148" s="117" t="e">
        <f t="shared" si="15"/>
        <v>#REF!</v>
      </c>
      <c r="P148" s="111" t="e">
        <f>ROUND(N148*O148,2)</f>
        <v>#REF!</v>
      </c>
      <c r="Q148" s="112" t="e">
        <f>ROUND(L148*P148,2)</f>
        <v>#REF!</v>
      </c>
      <c r="R148" s="113"/>
    </row>
    <row r="149" spans="1:18" s="105" customFormat="1" ht="15" customHeight="1" thickBot="1">
      <c r="A149" s="101"/>
      <c r="B149" s="107" t="s">
        <v>810</v>
      </c>
      <c r="C149" s="275" t="s">
        <v>681</v>
      </c>
      <c r="D149" s="276"/>
      <c r="E149" s="276"/>
      <c r="F149" s="276"/>
      <c r="G149" s="276"/>
      <c r="H149" s="276"/>
      <c r="I149" s="276"/>
      <c r="J149" s="276"/>
      <c r="K149" s="276"/>
      <c r="L149" s="118">
        <f>18/2</f>
        <v>9</v>
      </c>
      <c r="M149" s="127" t="s">
        <v>679</v>
      </c>
      <c r="N149" s="207">
        <v>395.44</v>
      </c>
      <c r="O149" s="124" t="e">
        <f t="shared" si="15"/>
        <v>#REF!</v>
      </c>
      <c r="P149" s="125" t="e">
        <f>ROUND(N149*O149,2)</f>
        <v>#REF!</v>
      </c>
      <c r="Q149" s="120" t="e">
        <f>ROUND(L149*P149,2)</f>
        <v>#REF!</v>
      </c>
      <c r="R149" s="211" t="s">
        <v>680</v>
      </c>
    </row>
    <row r="150" spans="1:19" s="116" customFormat="1" ht="15" customHeight="1" thickBot="1">
      <c r="A150" s="101"/>
      <c r="B150" s="115">
        <v>3</v>
      </c>
      <c r="C150" s="270" t="s">
        <v>176</v>
      </c>
      <c r="D150" s="271"/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103" t="e">
        <f>SUM(Q151:Q370)</f>
        <v>#REF!</v>
      </c>
      <c r="R150" s="113"/>
      <c r="S150" s="129"/>
    </row>
    <row r="151" spans="1:18" s="105" customFormat="1" ht="15" customHeight="1">
      <c r="A151" s="101"/>
      <c r="B151" s="107" t="s">
        <v>69</v>
      </c>
      <c r="C151" s="278" t="s">
        <v>824</v>
      </c>
      <c r="D151" s="278"/>
      <c r="E151" s="278"/>
      <c r="F151" s="278"/>
      <c r="G151" s="278"/>
      <c r="H151" s="278"/>
      <c r="I151" s="278"/>
      <c r="J151" s="278"/>
      <c r="K151" s="278"/>
      <c r="L151" s="108">
        <f>875*6</f>
        <v>5250</v>
      </c>
      <c r="M151" s="109" t="s">
        <v>78</v>
      </c>
      <c r="N151" s="40">
        <v>1.59</v>
      </c>
      <c r="O151" s="117" t="e">
        <f aca="true" t="shared" si="17" ref="O151:O176">(1+$Q$3)</f>
        <v>#REF!</v>
      </c>
      <c r="P151" s="111" t="e">
        <f>ROUND(N151*O151,2)</f>
        <v>#REF!</v>
      </c>
      <c r="Q151" s="112" t="e">
        <f>ROUND(L151*P151,2)</f>
        <v>#REF!</v>
      </c>
      <c r="R151" s="113">
        <v>73679</v>
      </c>
    </row>
    <row r="152" spans="1:18" s="105" customFormat="1" ht="24.75" customHeight="1">
      <c r="A152" s="101"/>
      <c r="B152" s="107" t="s">
        <v>98</v>
      </c>
      <c r="C152" s="278" t="s">
        <v>123</v>
      </c>
      <c r="D152" s="278"/>
      <c r="E152" s="278"/>
      <c r="F152" s="278"/>
      <c r="G152" s="278"/>
      <c r="H152" s="278"/>
      <c r="I152" s="278"/>
      <c r="J152" s="278"/>
      <c r="K152" s="278"/>
      <c r="L152" s="108">
        <f>L151*2+L153</f>
        <v>10576.8</v>
      </c>
      <c r="M152" s="109" t="s">
        <v>72</v>
      </c>
      <c r="N152" s="40">
        <v>0.46</v>
      </c>
      <c r="O152" s="117" t="e">
        <f t="shared" si="17"/>
        <v>#REF!</v>
      </c>
      <c r="P152" s="111" t="e">
        <f>ROUND(N152*O152,2)</f>
        <v>#REF!</v>
      </c>
      <c r="Q152" s="112" t="e">
        <f>ROUND(L152*P152,2)</f>
        <v>#REF!</v>
      </c>
      <c r="R152" s="113" t="s">
        <v>119</v>
      </c>
    </row>
    <row r="153" spans="1:18" s="105" customFormat="1" ht="15" customHeight="1">
      <c r="A153" s="101"/>
      <c r="B153" s="107" t="s">
        <v>103</v>
      </c>
      <c r="C153" s="278" t="s">
        <v>61</v>
      </c>
      <c r="D153" s="278"/>
      <c r="E153" s="278"/>
      <c r="F153" s="278"/>
      <c r="G153" s="278"/>
      <c r="H153" s="278"/>
      <c r="I153" s="278"/>
      <c r="J153" s="278"/>
      <c r="K153" s="278"/>
      <c r="L153" s="108">
        <f>15.36*5</f>
        <v>76.8</v>
      </c>
      <c r="M153" s="109" t="s">
        <v>72</v>
      </c>
      <c r="N153" s="40">
        <v>4.66</v>
      </c>
      <c r="O153" s="117" t="e">
        <f>(1+$Q$3)</f>
        <v>#REF!</v>
      </c>
      <c r="P153" s="111" t="e">
        <f aca="true" t="shared" si="18" ref="P153:P271">ROUND(N153*O153,2)</f>
        <v>#REF!</v>
      </c>
      <c r="Q153" s="112" t="e">
        <f aca="true" t="shared" si="19" ref="Q153:Q271">ROUND(L153*P153,2)</f>
        <v>#REF!</v>
      </c>
      <c r="R153" s="113" t="s">
        <v>235</v>
      </c>
    </row>
    <row r="154" spans="1:18" s="105" customFormat="1" ht="15" customHeight="1">
      <c r="A154" s="123"/>
      <c r="B154" s="107" t="s">
        <v>104</v>
      </c>
      <c r="C154" s="278" t="s">
        <v>143</v>
      </c>
      <c r="D154" s="278"/>
      <c r="E154" s="278"/>
      <c r="F154" s="278"/>
      <c r="G154" s="278"/>
      <c r="H154" s="278"/>
      <c r="I154" s="278"/>
      <c r="J154" s="278"/>
      <c r="K154" s="278"/>
      <c r="L154" s="108">
        <f>L153*2.15</f>
        <v>165.11999999999998</v>
      </c>
      <c r="M154" s="109" t="s">
        <v>73</v>
      </c>
      <c r="N154" s="40">
        <v>46.04</v>
      </c>
      <c r="O154" s="117" t="e">
        <f>(1+$Q$3)</f>
        <v>#REF!</v>
      </c>
      <c r="P154" s="111" t="e">
        <f t="shared" si="18"/>
        <v>#REF!</v>
      </c>
      <c r="Q154" s="112" t="e">
        <f t="shared" si="19"/>
        <v>#REF!</v>
      </c>
      <c r="R154" s="113">
        <v>93358</v>
      </c>
    </row>
    <row r="155" spans="1:18" s="122" customFormat="1" ht="15" customHeight="1">
      <c r="A155" s="121"/>
      <c r="B155" s="107" t="s">
        <v>105</v>
      </c>
      <c r="C155" s="278" t="s">
        <v>186</v>
      </c>
      <c r="D155" s="278"/>
      <c r="E155" s="278"/>
      <c r="F155" s="278"/>
      <c r="G155" s="278"/>
      <c r="H155" s="278"/>
      <c r="I155" s="278"/>
      <c r="J155" s="278"/>
      <c r="K155" s="278"/>
      <c r="L155" s="108">
        <f>4.02+4.02+3.2*2+3.2+11.16+0.07</f>
        <v>28.87</v>
      </c>
      <c r="M155" s="109" t="s">
        <v>73</v>
      </c>
      <c r="N155" s="40">
        <v>264.39</v>
      </c>
      <c r="O155" s="117" t="e">
        <f t="shared" si="17"/>
        <v>#REF!</v>
      </c>
      <c r="P155" s="111" t="e">
        <f t="shared" si="18"/>
        <v>#REF!</v>
      </c>
      <c r="Q155" s="112" t="e">
        <f t="shared" si="19"/>
        <v>#REF!</v>
      </c>
      <c r="R155" s="113">
        <v>94971</v>
      </c>
    </row>
    <row r="156" spans="1:18" s="122" customFormat="1" ht="15" customHeight="1">
      <c r="A156" s="121"/>
      <c r="B156" s="107" t="s">
        <v>59</v>
      </c>
      <c r="C156" s="278" t="s">
        <v>768</v>
      </c>
      <c r="D156" s="278"/>
      <c r="E156" s="278"/>
      <c r="F156" s="278"/>
      <c r="G156" s="278"/>
      <c r="H156" s="278"/>
      <c r="I156" s="278"/>
      <c r="J156" s="278"/>
      <c r="K156" s="278"/>
      <c r="L156" s="108">
        <f>9.91+10.7+8.17+30.43+21.59+4.02*2+3.2*2+3.2+(111.6+0.07)</f>
        <v>210.11</v>
      </c>
      <c r="M156" s="109" t="s">
        <v>73</v>
      </c>
      <c r="N156" s="40">
        <v>248.21</v>
      </c>
      <c r="O156" s="117" t="e">
        <f t="shared" si="17"/>
        <v>#REF!</v>
      </c>
      <c r="P156" s="111" t="e">
        <f>ROUND(N156*O156,2)</f>
        <v>#REF!</v>
      </c>
      <c r="Q156" s="112" t="e">
        <f>ROUND(L156*P156,2)</f>
        <v>#REF!</v>
      </c>
      <c r="R156" s="113">
        <v>94970</v>
      </c>
    </row>
    <row r="157" spans="1:18" s="122" customFormat="1" ht="15" customHeight="1">
      <c r="A157" s="121"/>
      <c r="B157" s="107" t="s">
        <v>62</v>
      </c>
      <c r="C157" s="278" t="s">
        <v>187</v>
      </c>
      <c r="D157" s="278"/>
      <c r="E157" s="278"/>
      <c r="F157" s="278"/>
      <c r="G157" s="278"/>
      <c r="H157" s="278"/>
      <c r="I157" s="278"/>
      <c r="J157" s="278"/>
      <c r="K157" s="278"/>
      <c r="L157" s="108">
        <f>L155+L156</f>
        <v>238.98000000000002</v>
      </c>
      <c r="M157" s="109" t="s">
        <v>73</v>
      </c>
      <c r="N157" s="40">
        <v>79.75</v>
      </c>
      <c r="O157" s="117" t="e">
        <f t="shared" si="17"/>
        <v>#REF!</v>
      </c>
      <c r="P157" s="111" t="e">
        <f t="shared" si="18"/>
        <v>#REF!</v>
      </c>
      <c r="Q157" s="112" t="e">
        <f t="shared" si="19"/>
        <v>#REF!</v>
      </c>
      <c r="R157" s="113" t="s">
        <v>144</v>
      </c>
    </row>
    <row r="158" spans="1:18" s="122" customFormat="1" ht="15" customHeight="1">
      <c r="A158" s="121"/>
      <c r="B158" s="107" t="s">
        <v>108</v>
      </c>
      <c r="C158" s="278" t="s">
        <v>503</v>
      </c>
      <c r="D158" s="278"/>
      <c r="E158" s="278"/>
      <c r="F158" s="278"/>
      <c r="G158" s="278"/>
      <c r="H158" s="278"/>
      <c r="I158" s="278"/>
      <c r="J158" s="278"/>
      <c r="K158" s="278"/>
      <c r="L158" s="108">
        <f>28.68+28.68*2+4.02*2+1.31+86.79+78.84+108.04+55.29+225.99+164.41+36.89*2+28.68*2+26.68+(86.79+1.31)</f>
        <v>1060.6699999999998</v>
      </c>
      <c r="M158" s="109" t="s">
        <v>72</v>
      </c>
      <c r="N158" s="40">
        <v>31.68</v>
      </c>
      <c r="O158" s="117" t="e">
        <f>(1+$Q$3)</f>
        <v>#REF!</v>
      </c>
      <c r="P158" s="111" t="e">
        <f t="shared" si="18"/>
        <v>#REF!</v>
      </c>
      <c r="Q158" s="112" t="e">
        <f t="shared" si="19"/>
        <v>#REF!</v>
      </c>
      <c r="R158" s="113">
        <v>5651</v>
      </c>
    </row>
    <row r="159" spans="1:18" s="105" customFormat="1" ht="15" customHeight="1">
      <c r="A159" s="101"/>
      <c r="B159" s="107" t="s">
        <v>109</v>
      </c>
      <c r="C159" s="278" t="s">
        <v>773</v>
      </c>
      <c r="D159" s="278"/>
      <c r="E159" s="278"/>
      <c r="F159" s="278"/>
      <c r="G159" s="278"/>
      <c r="H159" s="278"/>
      <c r="I159" s="278"/>
      <c r="J159" s="278"/>
      <c r="K159" s="278"/>
      <c r="L159" s="108">
        <f>2.7+0.8+0.8+2.4+25.6+(19.2+3.7)</f>
        <v>55.199999999999996</v>
      </c>
      <c r="M159" s="109" t="s">
        <v>140</v>
      </c>
      <c r="N159" s="40">
        <v>7.02</v>
      </c>
      <c r="O159" s="117" t="e">
        <f aca="true" t="shared" si="20" ref="O159:O168">(1+$Q$3)</f>
        <v>#REF!</v>
      </c>
      <c r="P159" s="111" t="e">
        <f t="shared" si="18"/>
        <v>#REF!</v>
      </c>
      <c r="Q159" s="112" t="e">
        <f t="shared" si="19"/>
        <v>#REF!</v>
      </c>
      <c r="R159" s="113">
        <v>92791</v>
      </c>
    </row>
    <row r="160" spans="1:18" s="105" customFormat="1" ht="15" customHeight="1">
      <c r="A160" s="101"/>
      <c r="B160" s="107" t="s">
        <v>110</v>
      </c>
      <c r="C160" s="278" t="s">
        <v>769</v>
      </c>
      <c r="D160" s="278"/>
      <c r="E160" s="278"/>
      <c r="F160" s="278"/>
      <c r="G160" s="278"/>
      <c r="H160" s="278"/>
      <c r="I160" s="278"/>
      <c r="J160" s="278"/>
      <c r="K160" s="278"/>
      <c r="L160" s="108">
        <f>320.18+145.2+308.76+427.03+227.1+(89.5+88.1+411.54)+(230.56+79.3)+275.2+274.2+184.76*2+188.6+(114.9+401.5)</f>
        <v>3951.1899999999996</v>
      </c>
      <c r="M160" s="109" t="s">
        <v>140</v>
      </c>
      <c r="N160" s="40">
        <v>6.84</v>
      </c>
      <c r="O160" s="117" t="e">
        <f t="shared" si="20"/>
        <v>#REF!</v>
      </c>
      <c r="P160" s="111" t="e">
        <f aca="true" t="shared" si="21" ref="P160:P168">ROUND(N160*O160,2)</f>
        <v>#REF!</v>
      </c>
      <c r="Q160" s="112" t="e">
        <f aca="true" t="shared" si="22" ref="Q160:Q168">ROUND(L160*P160,2)</f>
        <v>#REF!</v>
      </c>
      <c r="R160" s="113">
        <v>92792</v>
      </c>
    </row>
    <row r="161" spans="1:18" s="105" customFormat="1" ht="15" customHeight="1">
      <c r="A161" s="101"/>
      <c r="B161" s="107" t="s">
        <v>158</v>
      </c>
      <c r="C161" s="278" t="s">
        <v>770</v>
      </c>
      <c r="D161" s="278"/>
      <c r="E161" s="278"/>
      <c r="F161" s="278"/>
      <c r="G161" s="278"/>
      <c r="H161" s="278"/>
      <c r="I161" s="278"/>
      <c r="J161" s="278"/>
      <c r="K161" s="278"/>
      <c r="L161" s="108">
        <f>184.06+243.8+450.96+707.12+308.55+(545+294.11+193.3)+188.23+50.75+50.75+68.37*2+77.55+(192.5+78.2)</f>
        <v>3701.62</v>
      </c>
      <c r="M161" s="109" t="s">
        <v>140</v>
      </c>
      <c r="N161" s="40">
        <v>7</v>
      </c>
      <c r="O161" s="117" t="e">
        <f t="shared" si="20"/>
        <v>#REF!</v>
      </c>
      <c r="P161" s="111" t="e">
        <f t="shared" si="21"/>
        <v>#REF!</v>
      </c>
      <c r="Q161" s="112" t="e">
        <f t="shared" si="22"/>
        <v>#REF!</v>
      </c>
      <c r="R161" s="113">
        <v>92793</v>
      </c>
    </row>
    <row r="162" spans="1:18" s="105" customFormat="1" ht="15" customHeight="1">
      <c r="A162" s="101"/>
      <c r="B162" s="107" t="s">
        <v>159</v>
      </c>
      <c r="C162" s="278" t="s">
        <v>771</v>
      </c>
      <c r="D162" s="278"/>
      <c r="E162" s="278"/>
      <c r="F162" s="278"/>
      <c r="G162" s="278"/>
      <c r="H162" s="278"/>
      <c r="I162" s="278"/>
      <c r="J162" s="278"/>
      <c r="K162" s="278"/>
      <c r="L162" s="108">
        <f>39.7+31.9+70.09+101.03+(455.1+296)+55.43+51.9+51.5+43.6*2+42.6+(19.2+90.1)</f>
        <v>1391.75</v>
      </c>
      <c r="M162" s="109" t="s">
        <v>140</v>
      </c>
      <c r="N162" s="40">
        <v>5.76</v>
      </c>
      <c r="O162" s="117" t="e">
        <f t="shared" si="20"/>
        <v>#REF!</v>
      </c>
      <c r="P162" s="111" t="e">
        <f t="shared" si="21"/>
        <v>#REF!</v>
      </c>
      <c r="Q162" s="112" t="e">
        <f t="shared" si="22"/>
        <v>#REF!</v>
      </c>
      <c r="R162" s="113">
        <v>92794</v>
      </c>
    </row>
    <row r="163" spans="1:18" s="105" customFormat="1" ht="15" customHeight="1">
      <c r="A163" s="101"/>
      <c r="B163" s="107" t="s">
        <v>160</v>
      </c>
      <c r="C163" s="278" t="s">
        <v>772</v>
      </c>
      <c r="D163" s="278"/>
      <c r="E163" s="278"/>
      <c r="F163" s="278"/>
      <c r="G163" s="278"/>
      <c r="H163" s="278"/>
      <c r="I163" s="278"/>
      <c r="J163" s="278"/>
      <c r="K163" s="278"/>
      <c r="L163" s="108">
        <f>28.6+127.68+93.8+(114.9+106.6+101)+56.4+4.4</f>
        <v>633.3799999999999</v>
      </c>
      <c r="M163" s="109" t="s">
        <v>140</v>
      </c>
      <c r="N163" s="40">
        <v>4.86</v>
      </c>
      <c r="O163" s="117" t="e">
        <f t="shared" si="20"/>
        <v>#REF!</v>
      </c>
      <c r="P163" s="111" t="e">
        <f t="shared" si="21"/>
        <v>#REF!</v>
      </c>
      <c r="Q163" s="112" t="e">
        <f t="shared" si="22"/>
        <v>#REF!</v>
      </c>
      <c r="R163" s="113">
        <v>92795</v>
      </c>
    </row>
    <row r="164" spans="1:18" s="105" customFormat="1" ht="15" customHeight="1">
      <c r="A164" s="101"/>
      <c r="B164" s="107" t="s">
        <v>161</v>
      </c>
      <c r="C164" s="278" t="s">
        <v>774</v>
      </c>
      <c r="D164" s="278"/>
      <c r="E164" s="278"/>
      <c r="F164" s="278"/>
      <c r="G164" s="278"/>
      <c r="H164" s="278"/>
      <c r="I164" s="278"/>
      <c r="J164" s="278"/>
      <c r="K164" s="278"/>
      <c r="L164" s="108">
        <f>6.5+42.8+35+8.9+7.8*2+7.8+6.4</f>
        <v>123</v>
      </c>
      <c r="M164" s="109" t="s">
        <v>140</v>
      </c>
      <c r="N164" s="40">
        <v>5.18</v>
      </c>
      <c r="O164" s="117" t="e">
        <f t="shared" si="20"/>
        <v>#REF!</v>
      </c>
      <c r="P164" s="111" t="e">
        <f t="shared" si="21"/>
        <v>#REF!</v>
      </c>
      <c r="Q164" s="112" t="e">
        <f t="shared" si="22"/>
        <v>#REF!</v>
      </c>
      <c r="R164" s="113">
        <v>92800</v>
      </c>
    </row>
    <row r="165" spans="1:25" s="105" customFormat="1" ht="15" customHeight="1">
      <c r="A165" s="101"/>
      <c r="B165" s="107" t="s">
        <v>162</v>
      </c>
      <c r="C165" s="278" t="s">
        <v>775</v>
      </c>
      <c r="D165" s="278"/>
      <c r="E165" s="278"/>
      <c r="F165" s="278"/>
      <c r="G165" s="278"/>
      <c r="H165" s="278"/>
      <c r="I165" s="278"/>
      <c r="J165" s="278"/>
      <c r="K165" s="278"/>
      <c r="L165" s="108">
        <f>25.72+23.54+38.26+16.64+10.8+10.8+22.94*2+10.8+81.1</f>
        <v>263.53999999999996</v>
      </c>
      <c r="M165" s="109" t="s">
        <v>140</v>
      </c>
      <c r="N165" s="40">
        <v>4.91</v>
      </c>
      <c r="O165" s="117" t="e">
        <f t="shared" si="20"/>
        <v>#REF!</v>
      </c>
      <c r="P165" s="111" t="e">
        <f t="shared" si="21"/>
        <v>#REF!</v>
      </c>
      <c r="Q165" s="112" t="e">
        <f t="shared" si="22"/>
        <v>#REF!</v>
      </c>
      <c r="R165" s="113">
        <v>92801</v>
      </c>
      <c r="Y165" s="105" t="s">
        <v>780</v>
      </c>
    </row>
    <row r="166" spans="1:18" s="105" customFormat="1" ht="15" customHeight="1">
      <c r="A166" s="101"/>
      <c r="B166" s="107" t="s">
        <v>163</v>
      </c>
      <c r="C166" s="278" t="s">
        <v>776</v>
      </c>
      <c r="D166" s="278"/>
      <c r="E166" s="278"/>
      <c r="F166" s="278"/>
      <c r="G166" s="278"/>
      <c r="H166" s="278"/>
      <c r="I166" s="278"/>
      <c r="J166" s="278"/>
      <c r="K166" s="278"/>
      <c r="L166" s="108">
        <f>88.34+89.54+81.78+34.55+(94.49+117.6)+(49.57+57.39)+7.05+7.05+24.43*2+15.25+92.7</f>
        <v>784.17</v>
      </c>
      <c r="M166" s="109" t="s">
        <v>140</v>
      </c>
      <c r="N166" s="40">
        <v>5.17</v>
      </c>
      <c r="O166" s="117" t="e">
        <f t="shared" si="20"/>
        <v>#REF!</v>
      </c>
      <c r="P166" s="111" t="e">
        <f t="shared" si="21"/>
        <v>#REF!</v>
      </c>
      <c r="Q166" s="112" t="e">
        <f t="shared" si="22"/>
        <v>#REF!</v>
      </c>
      <c r="R166" s="113">
        <v>92802</v>
      </c>
    </row>
    <row r="167" spans="1:18" s="105" customFormat="1" ht="15" customHeight="1">
      <c r="A167" s="101"/>
      <c r="B167" s="107" t="s">
        <v>164</v>
      </c>
      <c r="C167" s="278" t="s">
        <v>778</v>
      </c>
      <c r="D167" s="278"/>
      <c r="E167" s="278"/>
      <c r="F167" s="278"/>
      <c r="G167" s="278"/>
      <c r="H167" s="278"/>
      <c r="I167" s="278"/>
      <c r="J167" s="278"/>
      <c r="K167" s="278"/>
      <c r="L167" s="108">
        <f>46.77+(1.22+70.3)+50.17+1.5</f>
        <v>169.95999999999998</v>
      </c>
      <c r="M167" s="109" t="s">
        <v>140</v>
      </c>
      <c r="N167" s="40">
        <v>4.22</v>
      </c>
      <c r="O167" s="117" t="e">
        <f t="shared" si="20"/>
        <v>#REF!</v>
      </c>
      <c r="P167" s="111" t="e">
        <f t="shared" si="21"/>
        <v>#REF!</v>
      </c>
      <c r="Q167" s="112" t="e">
        <f t="shared" si="22"/>
        <v>#REF!</v>
      </c>
      <c r="R167" s="113">
        <v>92803</v>
      </c>
    </row>
    <row r="168" spans="1:18" s="105" customFormat="1" ht="15" customHeight="1">
      <c r="A168" s="101"/>
      <c r="B168" s="107" t="s">
        <v>165</v>
      </c>
      <c r="C168" s="278" t="s">
        <v>777</v>
      </c>
      <c r="D168" s="278"/>
      <c r="E168" s="278"/>
      <c r="F168" s="278"/>
      <c r="G168" s="278"/>
      <c r="H168" s="278"/>
      <c r="I168" s="278"/>
      <c r="J168" s="278"/>
      <c r="K168" s="278"/>
      <c r="L168" s="108">
        <f>99.22+63.37</f>
        <v>162.59</v>
      </c>
      <c r="M168" s="109" t="s">
        <v>140</v>
      </c>
      <c r="N168" s="40">
        <v>3.81</v>
      </c>
      <c r="O168" s="117" t="e">
        <f t="shared" si="20"/>
        <v>#REF!</v>
      </c>
      <c r="P168" s="111" t="e">
        <f t="shared" si="21"/>
        <v>#REF!</v>
      </c>
      <c r="Q168" s="112" t="e">
        <f t="shared" si="22"/>
        <v>#REF!</v>
      </c>
      <c r="R168" s="113">
        <v>92804</v>
      </c>
    </row>
    <row r="169" spans="1:18" s="105" customFormat="1" ht="15" customHeight="1">
      <c r="A169" s="101"/>
      <c r="B169" s="107" t="s">
        <v>166</v>
      </c>
      <c r="C169" s="278" t="s">
        <v>228</v>
      </c>
      <c r="D169" s="278"/>
      <c r="E169" s="278"/>
      <c r="F169" s="278"/>
      <c r="G169" s="278"/>
      <c r="H169" s="278"/>
      <c r="I169" s="278"/>
      <c r="J169" s="278"/>
      <c r="K169" s="278"/>
      <c r="L169" s="108">
        <f>2*1.4*(875*6-200)+(5.4*3.9*2.8)+(5.4*3.9*3.7)+(7.25*8.34*1.8)+(7.34*5.75*1.95)+(5.4*5.9*3)+(4.55*5.65*2.3)+(25.84*2.42)+(15.84*2.38)*2+(15.84*1.95)*2+(15.84*1.85)+(38.71*2.28)</f>
        <v>14940.004</v>
      </c>
      <c r="M169" s="109" t="s">
        <v>73</v>
      </c>
      <c r="N169" s="40">
        <v>2.59</v>
      </c>
      <c r="O169" s="117" t="e">
        <f t="shared" si="17"/>
        <v>#REF!</v>
      </c>
      <c r="P169" s="111" t="e">
        <f t="shared" si="18"/>
        <v>#REF!</v>
      </c>
      <c r="Q169" s="112" t="e">
        <f t="shared" si="19"/>
        <v>#REF!</v>
      </c>
      <c r="R169" s="113">
        <v>79480</v>
      </c>
    </row>
    <row r="170" spans="1:18" s="105" customFormat="1" ht="15" customHeight="1">
      <c r="A170" s="101"/>
      <c r="B170" s="107" t="s">
        <v>167</v>
      </c>
      <c r="C170" s="278" t="s">
        <v>242</v>
      </c>
      <c r="D170" s="278"/>
      <c r="E170" s="278"/>
      <c r="F170" s="278"/>
      <c r="G170" s="278"/>
      <c r="H170" s="278"/>
      <c r="I170" s="278"/>
      <c r="J170" s="278"/>
      <c r="K170" s="278"/>
      <c r="L170" s="108">
        <f>2*1.4*(200)</f>
        <v>560</v>
      </c>
      <c r="M170" s="109" t="s">
        <v>73</v>
      </c>
      <c r="N170" s="40">
        <v>10.62</v>
      </c>
      <c r="O170" s="117" t="e">
        <f t="shared" si="17"/>
        <v>#REF!</v>
      </c>
      <c r="P170" s="111" t="e">
        <f t="shared" si="18"/>
        <v>#REF!</v>
      </c>
      <c r="Q170" s="112" t="e">
        <f t="shared" si="19"/>
        <v>#REF!</v>
      </c>
      <c r="R170" s="113">
        <v>72917</v>
      </c>
    </row>
    <row r="171" spans="1:18" s="105" customFormat="1" ht="15" customHeight="1">
      <c r="A171" s="101"/>
      <c r="B171" s="107" t="s">
        <v>168</v>
      </c>
      <c r="C171" s="280" t="s">
        <v>180</v>
      </c>
      <c r="D171" s="281"/>
      <c r="E171" s="281"/>
      <c r="F171" s="281"/>
      <c r="G171" s="281"/>
      <c r="H171" s="281"/>
      <c r="I171" s="281"/>
      <c r="J171" s="281"/>
      <c r="K171" s="282"/>
      <c r="L171" s="108">
        <f>(5.4+3.9)*2*3.7</f>
        <v>68.82000000000001</v>
      </c>
      <c r="M171" s="109" t="s">
        <v>72</v>
      </c>
      <c r="N171" s="40">
        <v>44.93</v>
      </c>
      <c r="O171" s="117" t="e">
        <f t="shared" si="17"/>
        <v>#REF!</v>
      </c>
      <c r="P171" s="111" t="e">
        <f t="shared" si="18"/>
        <v>#REF!</v>
      </c>
      <c r="Q171" s="112" t="e">
        <f t="shared" si="19"/>
        <v>#REF!</v>
      </c>
      <c r="R171" s="113" t="s">
        <v>122</v>
      </c>
    </row>
    <row r="172" spans="1:18" s="105" customFormat="1" ht="15" customHeight="1">
      <c r="A172" s="101"/>
      <c r="B172" s="107" t="s">
        <v>302</v>
      </c>
      <c r="C172" s="278" t="s">
        <v>56</v>
      </c>
      <c r="D172" s="278"/>
      <c r="E172" s="278"/>
      <c r="F172" s="278"/>
      <c r="G172" s="278"/>
      <c r="H172" s="278"/>
      <c r="I172" s="278"/>
      <c r="J172" s="278"/>
      <c r="K172" s="278"/>
      <c r="L172" s="108">
        <f>875*6*2*2+((5.4*2.8)+(3.9*2.8))*2+(5.65+4.55)*2*2.3+(7.25+8.34)*2*1.8+(26.19*1.95)+(22.6*3)+(16*2.42)+(16*2.38)+(16*1.95)*2+(16*1.85)+(25.6*2.28)</f>
        <v>21501.162500000002</v>
      </c>
      <c r="M172" s="109" t="s">
        <v>72</v>
      </c>
      <c r="N172" s="40">
        <v>32.6</v>
      </c>
      <c r="O172" s="117" t="e">
        <f t="shared" si="17"/>
        <v>#REF!</v>
      </c>
      <c r="P172" s="111" t="e">
        <f t="shared" si="18"/>
        <v>#REF!</v>
      </c>
      <c r="Q172" s="112" t="e">
        <f t="shared" si="19"/>
        <v>#REF!</v>
      </c>
      <c r="R172" s="113" t="s">
        <v>124</v>
      </c>
    </row>
    <row r="173" spans="1:18" s="105" customFormat="1" ht="15" customHeight="1">
      <c r="A173" s="101"/>
      <c r="B173" s="107" t="s">
        <v>303</v>
      </c>
      <c r="C173" s="278" t="s">
        <v>784</v>
      </c>
      <c r="D173" s="278"/>
      <c r="E173" s="278"/>
      <c r="F173" s="278"/>
      <c r="G173" s="278"/>
      <c r="H173" s="278"/>
      <c r="I173" s="278"/>
      <c r="J173" s="278"/>
      <c r="K173" s="278"/>
      <c r="L173" s="108">
        <f>1.4*875*6</f>
        <v>7350</v>
      </c>
      <c r="M173" s="109" t="s">
        <v>72</v>
      </c>
      <c r="N173" s="40">
        <v>1.83</v>
      </c>
      <c r="O173" s="117" t="e">
        <f t="shared" si="17"/>
        <v>#REF!</v>
      </c>
      <c r="P173" s="111" t="e">
        <f t="shared" si="18"/>
        <v>#REF!</v>
      </c>
      <c r="Q173" s="112" t="e">
        <f t="shared" si="19"/>
        <v>#REF!</v>
      </c>
      <c r="R173" s="113">
        <v>94099</v>
      </c>
    </row>
    <row r="174" spans="1:18" s="105" customFormat="1" ht="15" customHeight="1">
      <c r="A174" s="101"/>
      <c r="B174" s="107" t="s">
        <v>304</v>
      </c>
      <c r="C174" s="278" t="s">
        <v>779</v>
      </c>
      <c r="D174" s="278"/>
      <c r="E174" s="278"/>
      <c r="F174" s="278"/>
      <c r="G174" s="278"/>
      <c r="H174" s="278"/>
      <c r="I174" s="278"/>
      <c r="J174" s="278"/>
      <c r="K174" s="278"/>
      <c r="L174" s="108">
        <f>(95.58-(3.9*3.4*3))+(58.97-(4.4*3.3*2.7))+(77.93-(4.4*3.3*3.7))+(59.13-(3.65*2.55*2.3))+(108.84-(6.34*5.25*1.8))+(79.72-(5.34*3.75*1.95))+(38.33-(1.6*2.4*2.22))+(37.7-(1.6*2.4*2.38))+(61.78-((1.6*1.4*1.95)*2))+(29.3-(1.6*1.4*1.85))+(88.26-(17.11*2.28))</f>
        <v>412.9082000000001</v>
      </c>
      <c r="M174" s="109" t="s">
        <v>73</v>
      </c>
      <c r="N174" s="40">
        <v>34.92</v>
      </c>
      <c r="O174" s="117" t="e">
        <f t="shared" si="17"/>
        <v>#REF!</v>
      </c>
      <c r="P174" s="111" t="e">
        <f>ROUND(N174*O174,2)</f>
        <v>#REF!</v>
      </c>
      <c r="Q174" s="112" t="e">
        <f>ROUND(L174*P174,2)</f>
        <v>#REF!</v>
      </c>
      <c r="R174" s="113" t="s">
        <v>120</v>
      </c>
    </row>
    <row r="175" spans="1:18" s="105" customFormat="1" ht="15" customHeight="1">
      <c r="A175" s="101"/>
      <c r="B175" s="107" t="s">
        <v>305</v>
      </c>
      <c r="C175" s="278" t="s">
        <v>128</v>
      </c>
      <c r="D175" s="278"/>
      <c r="E175" s="278"/>
      <c r="F175" s="278"/>
      <c r="G175" s="278"/>
      <c r="H175" s="278"/>
      <c r="I175" s="278"/>
      <c r="J175" s="278"/>
      <c r="K175" s="278"/>
      <c r="L175" s="108">
        <f>1*1.4*875*6-PI()*0.6^2/4*875*6</f>
        <v>5865.597471178822</v>
      </c>
      <c r="M175" s="109" t="s">
        <v>73</v>
      </c>
      <c r="N175" s="40">
        <v>34.92</v>
      </c>
      <c r="O175" s="117" t="e">
        <f t="shared" si="17"/>
        <v>#REF!</v>
      </c>
      <c r="P175" s="111" t="e">
        <f t="shared" si="18"/>
        <v>#REF!</v>
      </c>
      <c r="Q175" s="112" t="e">
        <f t="shared" si="19"/>
        <v>#REF!</v>
      </c>
      <c r="R175" s="113" t="s">
        <v>120</v>
      </c>
    </row>
    <row r="176" spans="1:18" s="105" customFormat="1" ht="15" customHeight="1">
      <c r="A176" s="101"/>
      <c r="B176" s="107" t="s">
        <v>306</v>
      </c>
      <c r="C176" s="278" t="s">
        <v>107</v>
      </c>
      <c r="D176" s="278"/>
      <c r="E176" s="278"/>
      <c r="F176" s="278"/>
      <c r="G176" s="278"/>
      <c r="H176" s="278"/>
      <c r="I176" s="278"/>
      <c r="J176" s="278"/>
      <c r="K176" s="278"/>
      <c r="L176" s="108">
        <f>1*1.4*875*6</f>
        <v>7350</v>
      </c>
      <c r="M176" s="109" t="s">
        <v>73</v>
      </c>
      <c r="N176" s="40">
        <v>17.69</v>
      </c>
      <c r="O176" s="117" t="e">
        <f t="shared" si="17"/>
        <v>#REF!</v>
      </c>
      <c r="P176" s="111" t="e">
        <f t="shared" si="18"/>
        <v>#REF!</v>
      </c>
      <c r="Q176" s="112" t="e">
        <f t="shared" si="19"/>
        <v>#REF!</v>
      </c>
      <c r="R176" s="113">
        <v>93382</v>
      </c>
    </row>
    <row r="177" spans="1:18" s="105" customFormat="1" ht="15" customHeight="1">
      <c r="A177" s="101"/>
      <c r="B177" s="107" t="s">
        <v>307</v>
      </c>
      <c r="C177" s="279" t="s">
        <v>265</v>
      </c>
      <c r="D177" s="278"/>
      <c r="E177" s="278"/>
      <c r="F177" s="278"/>
      <c r="G177" s="278"/>
      <c r="H177" s="278"/>
      <c r="I177" s="278"/>
      <c r="J177" s="278"/>
      <c r="K177" s="278"/>
      <c r="L177" s="108">
        <v>2</v>
      </c>
      <c r="M177" s="109" t="s">
        <v>111</v>
      </c>
      <c r="N177" s="40" t="e">
        <f>#REF!</f>
        <v>#REF!</v>
      </c>
      <c r="O177" s="117" t="e">
        <f>(1+$N$3)</f>
        <v>#REF!</v>
      </c>
      <c r="P177" s="111" t="e">
        <f t="shared" si="18"/>
        <v>#REF!</v>
      </c>
      <c r="Q177" s="112" t="e">
        <f t="shared" si="19"/>
        <v>#REF!</v>
      </c>
      <c r="R177" s="166" t="e">
        <f>#REF!</f>
        <v>#REF!</v>
      </c>
    </row>
    <row r="178" spans="1:18" s="105" customFormat="1" ht="15" customHeight="1">
      <c r="A178" s="101"/>
      <c r="B178" s="107" t="s">
        <v>308</v>
      </c>
      <c r="C178" s="280" t="s">
        <v>461</v>
      </c>
      <c r="D178" s="281"/>
      <c r="E178" s="281"/>
      <c r="F178" s="281"/>
      <c r="G178" s="281"/>
      <c r="H178" s="281"/>
      <c r="I178" s="281"/>
      <c r="J178" s="281"/>
      <c r="K178" s="282"/>
      <c r="L178" s="108">
        <f>106*L177</f>
        <v>212</v>
      </c>
      <c r="M178" s="109" t="s">
        <v>140</v>
      </c>
      <c r="N178" s="40">
        <v>0.79</v>
      </c>
      <c r="O178" s="117" t="e">
        <f>(1+$Q$3)</f>
        <v>#REF!</v>
      </c>
      <c r="P178" s="111" t="e">
        <f t="shared" si="18"/>
        <v>#REF!</v>
      </c>
      <c r="Q178" s="112" t="e">
        <f t="shared" si="19"/>
        <v>#REF!</v>
      </c>
      <c r="R178" s="113">
        <v>83726</v>
      </c>
    </row>
    <row r="179" spans="1:18" s="105" customFormat="1" ht="15" customHeight="1">
      <c r="A179" s="101"/>
      <c r="B179" s="107" t="s">
        <v>309</v>
      </c>
      <c r="C179" s="279" t="s">
        <v>266</v>
      </c>
      <c r="D179" s="278"/>
      <c r="E179" s="278"/>
      <c r="F179" s="278"/>
      <c r="G179" s="278"/>
      <c r="H179" s="278"/>
      <c r="I179" s="278"/>
      <c r="J179" s="278"/>
      <c r="K179" s="278"/>
      <c r="L179" s="108">
        <v>2</v>
      </c>
      <c r="M179" s="109" t="s">
        <v>111</v>
      </c>
      <c r="N179" s="40" t="e">
        <f>#REF!</f>
        <v>#REF!</v>
      </c>
      <c r="O179" s="117" t="e">
        <f>(1+$N$3)</f>
        <v>#REF!</v>
      </c>
      <c r="P179" s="111" t="e">
        <f t="shared" si="18"/>
        <v>#REF!</v>
      </c>
      <c r="Q179" s="112" t="e">
        <f t="shared" si="19"/>
        <v>#REF!</v>
      </c>
      <c r="R179" s="166" t="e">
        <f>#REF!</f>
        <v>#REF!</v>
      </c>
    </row>
    <row r="180" spans="1:18" s="105" customFormat="1" ht="15" customHeight="1">
      <c r="A180" s="101"/>
      <c r="B180" s="107" t="s">
        <v>310</v>
      </c>
      <c r="C180" s="280" t="s">
        <v>461</v>
      </c>
      <c r="D180" s="281"/>
      <c r="E180" s="281"/>
      <c r="F180" s="281"/>
      <c r="G180" s="281"/>
      <c r="H180" s="281"/>
      <c r="I180" s="281"/>
      <c r="J180" s="281"/>
      <c r="K180" s="282"/>
      <c r="L180" s="108">
        <f>175*L179</f>
        <v>350</v>
      </c>
      <c r="M180" s="109" t="s">
        <v>140</v>
      </c>
      <c r="N180" s="40">
        <v>0.79</v>
      </c>
      <c r="O180" s="117" t="e">
        <f>(1+$Q$3)</f>
        <v>#REF!</v>
      </c>
      <c r="P180" s="111" t="e">
        <f t="shared" si="18"/>
        <v>#REF!</v>
      </c>
      <c r="Q180" s="112" t="e">
        <f t="shared" si="19"/>
        <v>#REF!</v>
      </c>
      <c r="R180" s="113">
        <v>83726</v>
      </c>
    </row>
    <row r="181" spans="1:18" s="105" customFormat="1" ht="15" customHeight="1">
      <c r="A181" s="101"/>
      <c r="B181" s="107" t="s">
        <v>311</v>
      </c>
      <c r="C181" s="279" t="s">
        <v>267</v>
      </c>
      <c r="D181" s="278"/>
      <c r="E181" s="278"/>
      <c r="F181" s="278"/>
      <c r="G181" s="278"/>
      <c r="H181" s="278"/>
      <c r="I181" s="278"/>
      <c r="J181" s="278"/>
      <c r="K181" s="278"/>
      <c r="L181" s="108">
        <v>6</v>
      </c>
      <c r="M181" s="109" t="s">
        <v>111</v>
      </c>
      <c r="N181" s="40" t="e">
        <f>#REF!</f>
        <v>#REF!</v>
      </c>
      <c r="O181" s="117" t="e">
        <f>(1+$N$3)</f>
        <v>#REF!</v>
      </c>
      <c r="P181" s="111" t="e">
        <f t="shared" si="18"/>
        <v>#REF!</v>
      </c>
      <c r="Q181" s="112" t="e">
        <f t="shared" si="19"/>
        <v>#REF!</v>
      </c>
      <c r="R181" s="166" t="e">
        <f>#REF!</f>
        <v>#REF!</v>
      </c>
    </row>
    <row r="182" spans="1:18" s="105" customFormat="1" ht="15" customHeight="1">
      <c r="A182" s="101"/>
      <c r="B182" s="107" t="s">
        <v>312</v>
      </c>
      <c r="C182" s="280" t="s">
        <v>461</v>
      </c>
      <c r="D182" s="281"/>
      <c r="E182" s="281"/>
      <c r="F182" s="281"/>
      <c r="G182" s="281"/>
      <c r="H182" s="281"/>
      <c r="I182" s="281"/>
      <c r="J182" s="281"/>
      <c r="K182" s="282"/>
      <c r="L182" s="108">
        <f>322*L181</f>
        <v>1932</v>
      </c>
      <c r="M182" s="109" t="s">
        <v>140</v>
      </c>
      <c r="N182" s="40">
        <v>0.79</v>
      </c>
      <c r="O182" s="117" t="e">
        <f>(1+$Q$3)</f>
        <v>#REF!</v>
      </c>
      <c r="P182" s="111" t="e">
        <f t="shared" si="18"/>
        <v>#REF!</v>
      </c>
      <c r="Q182" s="112" t="e">
        <f t="shared" si="19"/>
        <v>#REF!</v>
      </c>
      <c r="R182" s="113">
        <v>83726</v>
      </c>
    </row>
    <row r="183" spans="1:18" s="105" customFormat="1" ht="15" customHeight="1">
      <c r="A183" s="101"/>
      <c r="B183" s="107" t="s">
        <v>313</v>
      </c>
      <c r="C183" s="279" t="s">
        <v>268</v>
      </c>
      <c r="D183" s="278"/>
      <c r="E183" s="278"/>
      <c r="F183" s="278"/>
      <c r="G183" s="278"/>
      <c r="H183" s="278"/>
      <c r="I183" s="278"/>
      <c r="J183" s="278"/>
      <c r="K183" s="278"/>
      <c r="L183" s="108">
        <v>2</v>
      </c>
      <c r="M183" s="109" t="s">
        <v>111</v>
      </c>
      <c r="N183" s="40" t="e">
        <f>#REF!</f>
        <v>#REF!</v>
      </c>
      <c r="O183" s="117" t="e">
        <f aca="true" t="shared" si="23" ref="O183:O211">(1+$N$3)</f>
        <v>#REF!</v>
      </c>
      <c r="P183" s="111" t="e">
        <f t="shared" si="18"/>
        <v>#REF!</v>
      </c>
      <c r="Q183" s="112" t="e">
        <f t="shared" si="19"/>
        <v>#REF!</v>
      </c>
      <c r="R183" s="166" t="e">
        <f>#REF!</f>
        <v>#REF!</v>
      </c>
    </row>
    <row r="184" spans="1:18" s="105" customFormat="1" ht="15" customHeight="1">
      <c r="A184" s="101"/>
      <c r="B184" s="107" t="s">
        <v>314</v>
      </c>
      <c r="C184" s="280" t="s">
        <v>461</v>
      </c>
      <c r="D184" s="281"/>
      <c r="E184" s="281"/>
      <c r="F184" s="281"/>
      <c r="G184" s="281"/>
      <c r="H184" s="281"/>
      <c r="I184" s="281"/>
      <c r="J184" s="281"/>
      <c r="K184" s="282"/>
      <c r="L184" s="108">
        <f>285*L183</f>
        <v>570</v>
      </c>
      <c r="M184" s="109" t="s">
        <v>140</v>
      </c>
      <c r="N184" s="40">
        <v>0.79</v>
      </c>
      <c r="O184" s="117" t="e">
        <f aca="true" t="shared" si="24" ref="O184:O212">(1+$Q$3)</f>
        <v>#REF!</v>
      </c>
      <c r="P184" s="111" t="e">
        <f t="shared" si="18"/>
        <v>#REF!</v>
      </c>
      <c r="Q184" s="112" t="e">
        <f t="shared" si="19"/>
        <v>#REF!</v>
      </c>
      <c r="R184" s="113">
        <v>83726</v>
      </c>
    </row>
    <row r="185" spans="1:18" s="105" customFormat="1" ht="15" customHeight="1">
      <c r="A185" s="101"/>
      <c r="B185" s="107" t="s">
        <v>315</v>
      </c>
      <c r="C185" s="279" t="s">
        <v>703</v>
      </c>
      <c r="D185" s="278"/>
      <c r="E185" s="278"/>
      <c r="F185" s="278"/>
      <c r="G185" s="278"/>
      <c r="H185" s="278"/>
      <c r="I185" s="278"/>
      <c r="J185" s="278"/>
      <c r="K185" s="278"/>
      <c r="L185" s="108">
        <v>2</v>
      </c>
      <c r="M185" s="109" t="s">
        <v>111</v>
      </c>
      <c r="N185" s="40" t="e">
        <f>#REF!</f>
        <v>#REF!</v>
      </c>
      <c r="O185" s="117" t="e">
        <f t="shared" si="23"/>
        <v>#REF!</v>
      </c>
      <c r="P185" s="111" t="e">
        <f aca="true" t="shared" si="25" ref="P185:P212">ROUND(N185*O185,2)</f>
        <v>#REF!</v>
      </c>
      <c r="Q185" s="112" t="e">
        <f aca="true" t="shared" si="26" ref="Q185:Q212">ROUND(L185*P185,2)</f>
        <v>#REF!</v>
      </c>
      <c r="R185" s="166" t="e">
        <f>#REF!</f>
        <v>#REF!</v>
      </c>
    </row>
    <row r="186" spans="1:18" s="105" customFormat="1" ht="15" customHeight="1">
      <c r="A186" s="101"/>
      <c r="B186" s="107" t="s">
        <v>316</v>
      </c>
      <c r="C186" s="280" t="s">
        <v>461</v>
      </c>
      <c r="D186" s="281"/>
      <c r="E186" s="281"/>
      <c r="F186" s="281"/>
      <c r="G186" s="281"/>
      <c r="H186" s="281"/>
      <c r="I186" s="281"/>
      <c r="J186" s="281"/>
      <c r="K186" s="282"/>
      <c r="L186" s="108">
        <f>144*L185</f>
        <v>288</v>
      </c>
      <c r="M186" s="109" t="s">
        <v>140</v>
      </c>
      <c r="N186" s="40">
        <v>0.79</v>
      </c>
      <c r="O186" s="117" t="e">
        <f t="shared" si="24"/>
        <v>#REF!</v>
      </c>
      <c r="P186" s="111" t="e">
        <f t="shared" si="25"/>
        <v>#REF!</v>
      </c>
      <c r="Q186" s="112" t="e">
        <f t="shared" si="26"/>
        <v>#REF!</v>
      </c>
      <c r="R186" s="113">
        <v>83725</v>
      </c>
    </row>
    <row r="187" spans="1:18" s="105" customFormat="1" ht="15" customHeight="1">
      <c r="A187" s="101"/>
      <c r="B187" s="107" t="s">
        <v>317</v>
      </c>
      <c r="C187" s="279" t="s">
        <v>704</v>
      </c>
      <c r="D187" s="278"/>
      <c r="E187" s="278"/>
      <c r="F187" s="278"/>
      <c r="G187" s="278"/>
      <c r="H187" s="278"/>
      <c r="I187" s="278"/>
      <c r="J187" s="278"/>
      <c r="K187" s="278"/>
      <c r="L187" s="108">
        <v>3</v>
      </c>
      <c r="M187" s="109" t="s">
        <v>111</v>
      </c>
      <c r="N187" s="40" t="e">
        <f>#REF!</f>
        <v>#REF!</v>
      </c>
      <c r="O187" s="117" t="e">
        <f t="shared" si="23"/>
        <v>#REF!</v>
      </c>
      <c r="P187" s="111" t="e">
        <f t="shared" si="25"/>
        <v>#REF!</v>
      </c>
      <c r="Q187" s="112" t="e">
        <f t="shared" si="26"/>
        <v>#REF!</v>
      </c>
      <c r="R187" s="166" t="e">
        <f>#REF!</f>
        <v>#REF!</v>
      </c>
    </row>
    <row r="188" spans="1:18" s="105" customFormat="1" ht="15" customHeight="1">
      <c r="A188" s="101"/>
      <c r="B188" s="107" t="s">
        <v>318</v>
      </c>
      <c r="C188" s="280" t="s">
        <v>461</v>
      </c>
      <c r="D188" s="281"/>
      <c r="E188" s="281"/>
      <c r="F188" s="281"/>
      <c r="G188" s="281"/>
      <c r="H188" s="281"/>
      <c r="I188" s="281"/>
      <c r="J188" s="281"/>
      <c r="K188" s="282"/>
      <c r="L188" s="108">
        <f>388*L187</f>
        <v>1164</v>
      </c>
      <c r="M188" s="109" t="s">
        <v>140</v>
      </c>
      <c r="N188" s="40">
        <v>0.79</v>
      </c>
      <c r="O188" s="117" t="e">
        <f t="shared" si="24"/>
        <v>#REF!</v>
      </c>
      <c r="P188" s="111" t="e">
        <f t="shared" si="25"/>
        <v>#REF!</v>
      </c>
      <c r="Q188" s="112" t="e">
        <f t="shared" si="26"/>
        <v>#REF!</v>
      </c>
      <c r="R188" s="113">
        <v>83725</v>
      </c>
    </row>
    <row r="189" spans="1:18" s="105" customFormat="1" ht="15" customHeight="1">
      <c r="A189" s="101"/>
      <c r="B189" s="107" t="s">
        <v>319</v>
      </c>
      <c r="C189" s="279" t="s">
        <v>706</v>
      </c>
      <c r="D189" s="278"/>
      <c r="E189" s="278"/>
      <c r="F189" s="278"/>
      <c r="G189" s="278"/>
      <c r="H189" s="278"/>
      <c r="I189" s="278"/>
      <c r="J189" s="278"/>
      <c r="K189" s="278"/>
      <c r="L189" s="108">
        <v>6</v>
      </c>
      <c r="M189" s="109" t="s">
        <v>111</v>
      </c>
      <c r="N189" s="40" t="e">
        <f>#REF!</f>
        <v>#REF!</v>
      </c>
      <c r="O189" s="117" t="e">
        <f t="shared" si="23"/>
        <v>#REF!</v>
      </c>
      <c r="P189" s="111" t="e">
        <f t="shared" si="25"/>
        <v>#REF!</v>
      </c>
      <c r="Q189" s="112" t="e">
        <f t="shared" si="26"/>
        <v>#REF!</v>
      </c>
      <c r="R189" s="166" t="e">
        <f>#REF!</f>
        <v>#REF!</v>
      </c>
    </row>
    <row r="190" spans="1:18" s="105" customFormat="1" ht="15" customHeight="1">
      <c r="A190" s="101"/>
      <c r="B190" s="107" t="s">
        <v>320</v>
      </c>
      <c r="C190" s="280" t="s">
        <v>461</v>
      </c>
      <c r="D190" s="281"/>
      <c r="E190" s="281"/>
      <c r="F190" s="281"/>
      <c r="G190" s="281"/>
      <c r="H190" s="281"/>
      <c r="I190" s="281"/>
      <c r="J190" s="281"/>
      <c r="K190" s="282"/>
      <c r="L190" s="108">
        <f>9.5*L189</f>
        <v>57</v>
      </c>
      <c r="M190" s="109" t="s">
        <v>140</v>
      </c>
      <c r="N190" s="40">
        <v>1.29</v>
      </c>
      <c r="O190" s="117" t="e">
        <f t="shared" si="24"/>
        <v>#REF!</v>
      </c>
      <c r="P190" s="111" t="e">
        <f t="shared" si="25"/>
        <v>#REF!</v>
      </c>
      <c r="Q190" s="112" t="e">
        <f t="shared" si="26"/>
        <v>#REF!</v>
      </c>
      <c r="R190" s="113">
        <v>83724</v>
      </c>
    </row>
    <row r="191" spans="1:18" s="105" customFormat="1" ht="15" customHeight="1">
      <c r="A191" s="101"/>
      <c r="B191" s="107" t="s">
        <v>321</v>
      </c>
      <c r="C191" s="279" t="s">
        <v>705</v>
      </c>
      <c r="D191" s="278"/>
      <c r="E191" s="278"/>
      <c r="F191" s="278"/>
      <c r="G191" s="278"/>
      <c r="H191" s="278"/>
      <c r="I191" s="278"/>
      <c r="J191" s="278"/>
      <c r="K191" s="278"/>
      <c r="L191" s="108">
        <v>2</v>
      </c>
      <c r="M191" s="109" t="s">
        <v>111</v>
      </c>
      <c r="N191" s="40" t="e">
        <f>#REF!</f>
        <v>#REF!</v>
      </c>
      <c r="O191" s="117" t="e">
        <f t="shared" si="23"/>
        <v>#REF!</v>
      </c>
      <c r="P191" s="111" t="e">
        <f t="shared" si="25"/>
        <v>#REF!</v>
      </c>
      <c r="Q191" s="112" t="e">
        <f t="shared" si="26"/>
        <v>#REF!</v>
      </c>
      <c r="R191" s="166" t="e">
        <f>#REF!</f>
        <v>#REF!</v>
      </c>
    </row>
    <row r="192" spans="1:18" s="105" customFormat="1" ht="15" customHeight="1">
      <c r="A192" s="101"/>
      <c r="B192" s="107" t="s">
        <v>322</v>
      </c>
      <c r="C192" s="280" t="s">
        <v>461</v>
      </c>
      <c r="D192" s="281"/>
      <c r="E192" s="281"/>
      <c r="F192" s="281"/>
      <c r="G192" s="281"/>
      <c r="H192" s="281"/>
      <c r="I192" s="281"/>
      <c r="J192" s="281"/>
      <c r="K192" s="282"/>
      <c r="L192" s="108">
        <f>11*L191</f>
        <v>22</v>
      </c>
      <c r="M192" s="109" t="s">
        <v>140</v>
      </c>
      <c r="N192" s="40">
        <v>1.29</v>
      </c>
      <c r="O192" s="117" t="e">
        <f t="shared" si="24"/>
        <v>#REF!</v>
      </c>
      <c r="P192" s="111" t="e">
        <f t="shared" si="25"/>
        <v>#REF!</v>
      </c>
      <c r="Q192" s="112" t="e">
        <f t="shared" si="26"/>
        <v>#REF!</v>
      </c>
      <c r="R192" s="113">
        <v>83724</v>
      </c>
    </row>
    <row r="193" spans="1:18" s="105" customFormat="1" ht="15" customHeight="1">
      <c r="A193" s="101"/>
      <c r="B193" s="107" t="s">
        <v>323</v>
      </c>
      <c r="C193" s="279" t="s">
        <v>707</v>
      </c>
      <c r="D193" s="278"/>
      <c r="E193" s="278"/>
      <c r="F193" s="278"/>
      <c r="G193" s="278"/>
      <c r="H193" s="278"/>
      <c r="I193" s="278"/>
      <c r="J193" s="278"/>
      <c r="K193" s="278"/>
      <c r="L193" s="108">
        <v>6</v>
      </c>
      <c r="M193" s="109" t="s">
        <v>111</v>
      </c>
      <c r="N193" s="40" t="e">
        <f>#REF!</f>
        <v>#REF!</v>
      </c>
      <c r="O193" s="117" t="e">
        <f t="shared" si="23"/>
        <v>#REF!</v>
      </c>
      <c r="P193" s="111" t="e">
        <f t="shared" si="25"/>
        <v>#REF!</v>
      </c>
      <c r="Q193" s="112" t="e">
        <f t="shared" si="26"/>
        <v>#REF!</v>
      </c>
      <c r="R193" s="166" t="e">
        <f>#REF!</f>
        <v>#REF!</v>
      </c>
    </row>
    <row r="194" spans="1:18" s="105" customFormat="1" ht="15" customHeight="1">
      <c r="A194" s="101"/>
      <c r="B194" s="107" t="s">
        <v>324</v>
      </c>
      <c r="C194" s="280" t="s">
        <v>461</v>
      </c>
      <c r="D194" s="281"/>
      <c r="E194" s="281"/>
      <c r="F194" s="281"/>
      <c r="G194" s="281"/>
      <c r="H194" s="281"/>
      <c r="I194" s="281"/>
      <c r="J194" s="281"/>
      <c r="K194" s="282"/>
      <c r="L194" s="108">
        <f>9.5*L193</f>
        <v>57</v>
      </c>
      <c r="M194" s="109" t="s">
        <v>140</v>
      </c>
      <c r="N194" s="40">
        <v>1.29</v>
      </c>
      <c r="O194" s="117" t="e">
        <f t="shared" si="24"/>
        <v>#REF!</v>
      </c>
      <c r="P194" s="111" t="e">
        <f t="shared" si="25"/>
        <v>#REF!</v>
      </c>
      <c r="Q194" s="112" t="e">
        <f t="shared" si="26"/>
        <v>#REF!</v>
      </c>
      <c r="R194" s="113">
        <v>83724</v>
      </c>
    </row>
    <row r="195" spans="1:18" s="105" customFormat="1" ht="15" customHeight="1">
      <c r="A195" s="101"/>
      <c r="B195" s="107" t="s">
        <v>325</v>
      </c>
      <c r="C195" s="279" t="s">
        <v>708</v>
      </c>
      <c r="D195" s="278"/>
      <c r="E195" s="278"/>
      <c r="F195" s="278"/>
      <c r="G195" s="278"/>
      <c r="H195" s="278"/>
      <c r="I195" s="278"/>
      <c r="J195" s="278"/>
      <c r="K195" s="278"/>
      <c r="L195" s="108">
        <v>7</v>
      </c>
      <c r="M195" s="109" t="s">
        <v>111</v>
      </c>
      <c r="N195" s="40" t="e">
        <f>#REF!</f>
        <v>#REF!</v>
      </c>
      <c r="O195" s="117" t="e">
        <f t="shared" si="23"/>
        <v>#REF!</v>
      </c>
      <c r="P195" s="111" t="e">
        <f t="shared" si="25"/>
        <v>#REF!</v>
      </c>
      <c r="Q195" s="112" t="e">
        <f t="shared" si="26"/>
        <v>#REF!</v>
      </c>
      <c r="R195" s="166" t="e">
        <f>#REF!</f>
        <v>#REF!</v>
      </c>
    </row>
    <row r="196" spans="1:18" s="105" customFormat="1" ht="15" customHeight="1">
      <c r="A196" s="101"/>
      <c r="B196" s="107" t="s">
        <v>326</v>
      </c>
      <c r="C196" s="280" t="s">
        <v>461</v>
      </c>
      <c r="D196" s="281"/>
      <c r="E196" s="281"/>
      <c r="F196" s="281"/>
      <c r="G196" s="281"/>
      <c r="H196" s="281"/>
      <c r="I196" s="281"/>
      <c r="J196" s="281"/>
      <c r="K196" s="282"/>
      <c r="L196" s="108">
        <f>11*L195</f>
        <v>77</v>
      </c>
      <c r="M196" s="109" t="s">
        <v>140</v>
      </c>
      <c r="N196" s="40">
        <v>1.29</v>
      </c>
      <c r="O196" s="117" t="e">
        <f t="shared" si="24"/>
        <v>#REF!</v>
      </c>
      <c r="P196" s="111" t="e">
        <f t="shared" si="25"/>
        <v>#REF!</v>
      </c>
      <c r="Q196" s="112" t="e">
        <f t="shared" si="26"/>
        <v>#REF!</v>
      </c>
      <c r="R196" s="113">
        <v>83724</v>
      </c>
    </row>
    <row r="197" spans="1:18" s="105" customFormat="1" ht="12">
      <c r="A197" s="101"/>
      <c r="B197" s="107" t="s">
        <v>327</v>
      </c>
      <c r="C197" s="279" t="s">
        <v>709</v>
      </c>
      <c r="D197" s="278"/>
      <c r="E197" s="278"/>
      <c r="F197" s="278"/>
      <c r="G197" s="278"/>
      <c r="H197" s="278"/>
      <c r="I197" s="278"/>
      <c r="J197" s="278"/>
      <c r="K197" s="278"/>
      <c r="L197" s="108">
        <v>1</v>
      </c>
      <c r="M197" s="109" t="s">
        <v>111</v>
      </c>
      <c r="N197" s="40" t="e">
        <f>#REF!</f>
        <v>#REF!</v>
      </c>
      <c r="O197" s="117" t="e">
        <f t="shared" si="23"/>
        <v>#REF!</v>
      </c>
      <c r="P197" s="111" t="e">
        <f t="shared" si="25"/>
        <v>#REF!</v>
      </c>
      <c r="Q197" s="112" t="e">
        <f t="shared" si="26"/>
        <v>#REF!</v>
      </c>
      <c r="R197" s="166" t="e">
        <f>#REF!</f>
        <v>#REF!</v>
      </c>
    </row>
    <row r="198" spans="1:18" s="105" customFormat="1" ht="15" customHeight="1">
      <c r="A198" s="101"/>
      <c r="B198" s="107" t="s">
        <v>328</v>
      </c>
      <c r="C198" s="280" t="s">
        <v>461</v>
      </c>
      <c r="D198" s="281"/>
      <c r="E198" s="281"/>
      <c r="F198" s="281"/>
      <c r="G198" s="281"/>
      <c r="H198" s="281"/>
      <c r="I198" s="281"/>
      <c r="J198" s="281"/>
      <c r="K198" s="282"/>
      <c r="L198" s="108">
        <v>420</v>
      </c>
      <c r="M198" s="109" t="s">
        <v>140</v>
      </c>
      <c r="N198" s="40">
        <v>0.79</v>
      </c>
      <c r="O198" s="117" t="e">
        <f t="shared" si="24"/>
        <v>#REF!</v>
      </c>
      <c r="P198" s="111" t="e">
        <f t="shared" si="25"/>
        <v>#REF!</v>
      </c>
      <c r="Q198" s="112" t="e">
        <f t="shared" si="26"/>
        <v>#REF!</v>
      </c>
      <c r="R198" s="113">
        <v>83725</v>
      </c>
    </row>
    <row r="199" spans="1:18" s="105" customFormat="1" ht="15" customHeight="1">
      <c r="A199" s="101"/>
      <c r="B199" s="107" t="s">
        <v>329</v>
      </c>
      <c r="C199" s="279" t="s">
        <v>710</v>
      </c>
      <c r="D199" s="278"/>
      <c r="E199" s="278"/>
      <c r="F199" s="278"/>
      <c r="G199" s="278"/>
      <c r="H199" s="278"/>
      <c r="I199" s="278"/>
      <c r="J199" s="278"/>
      <c r="K199" s="278"/>
      <c r="L199" s="108">
        <v>2</v>
      </c>
      <c r="M199" s="109" t="s">
        <v>111</v>
      </c>
      <c r="N199" s="40" t="e">
        <f>#REF!</f>
        <v>#REF!</v>
      </c>
      <c r="O199" s="117" t="e">
        <f t="shared" si="23"/>
        <v>#REF!</v>
      </c>
      <c r="P199" s="111" t="e">
        <f t="shared" si="25"/>
        <v>#REF!</v>
      </c>
      <c r="Q199" s="112" t="e">
        <f t="shared" si="26"/>
        <v>#REF!</v>
      </c>
      <c r="R199" s="166" t="e">
        <f>#REF!</f>
        <v>#REF!</v>
      </c>
    </row>
    <row r="200" spans="1:18" s="105" customFormat="1" ht="15" customHeight="1">
      <c r="A200" s="101"/>
      <c r="B200" s="107" t="s">
        <v>330</v>
      </c>
      <c r="C200" s="280" t="s">
        <v>461</v>
      </c>
      <c r="D200" s="281"/>
      <c r="E200" s="281"/>
      <c r="F200" s="281"/>
      <c r="G200" s="281"/>
      <c r="H200" s="281"/>
      <c r="I200" s="281"/>
      <c r="J200" s="281"/>
      <c r="K200" s="282"/>
      <c r="L200" s="108">
        <f>225*L199</f>
        <v>450</v>
      </c>
      <c r="M200" s="109" t="s">
        <v>140</v>
      </c>
      <c r="N200" s="40">
        <v>0.79</v>
      </c>
      <c r="O200" s="117" t="e">
        <f t="shared" si="24"/>
        <v>#REF!</v>
      </c>
      <c r="P200" s="111" t="e">
        <f t="shared" si="25"/>
        <v>#REF!</v>
      </c>
      <c r="Q200" s="112" t="e">
        <f t="shared" si="26"/>
        <v>#REF!</v>
      </c>
      <c r="R200" s="113">
        <v>83725</v>
      </c>
    </row>
    <row r="201" spans="1:18" s="105" customFormat="1" ht="15" customHeight="1">
      <c r="A201" s="101"/>
      <c r="B201" s="107" t="s">
        <v>331</v>
      </c>
      <c r="C201" s="279" t="s">
        <v>711</v>
      </c>
      <c r="D201" s="278"/>
      <c r="E201" s="278"/>
      <c r="F201" s="278"/>
      <c r="G201" s="278"/>
      <c r="H201" s="278"/>
      <c r="I201" s="278"/>
      <c r="J201" s="278"/>
      <c r="K201" s="278"/>
      <c r="L201" s="108">
        <v>2</v>
      </c>
      <c r="M201" s="109" t="s">
        <v>111</v>
      </c>
      <c r="N201" s="40" t="e">
        <f>#REF!</f>
        <v>#REF!</v>
      </c>
      <c r="O201" s="117" t="e">
        <f t="shared" si="23"/>
        <v>#REF!</v>
      </c>
      <c r="P201" s="111" t="e">
        <f t="shared" si="25"/>
        <v>#REF!</v>
      </c>
      <c r="Q201" s="112" t="e">
        <f t="shared" si="26"/>
        <v>#REF!</v>
      </c>
      <c r="R201" s="166" t="e">
        <f>#REF!</f>
        <v>#REF!</v>
      </c>
    </row>
    <row r="202" spans="1:18" s="105" customFormat="1" ht="18" customHeight="1">
      <c r="A202" s="101"/>
      <c r="B202" s="107" t="s">
        <v>332</v>
      </c>
      <c r="C202" s="285" t="s">
        <v>995</v>
      </c>
      <c r="D202" s="281"/>
      <c r="E202" s="281"/>
      <c r="F202" s="281"/>
      <c r="G202" s="281"/>
      <c r="H202" s="281"/>
      <c r="I202" s="281"/>
      <c r="J202" s="281"/>
      <c r="K202" s="282"/>
      <c r="L202" s="108">
        <f>285*L201</f>
        <v>570</v>
      </c>
      <c r="M202" s="109" t="s">
        <v>140</v>
      </c>
      <c r="N202" s="40">
        <v>0.59</v>
      </c>
      <c r="O202" s="117" t="e">
        <f t="shared" si="24"/>
        <v>#REF!</v>
      </c>
      <c r="P202" s="111" t="e">
        <f t="shared" si="25"/>
        <v>#REF!</v>
      </c>
      <c r="Q202" s="112" t="e">
        <f t="shared" si="26"/>
        <v>#REF!</v>
      </c>
      <c r="R202" s="113">
        <v>83726</v>
      </c>
    </row>
    <row r="203" spans="1:18" s="105" customFormat="1" ht="15" customHeight="1">
      <c r="A203" s="101"/>
      <c r="B203" s="107" t="s">
        <v>333</v>
      </c>
      <c r="C203" s="279" t="s">
        <v>712</v>
      </c>
      <c r="D203" s="278"/>
      <c r="E203" s="278"/>
      <c r="F203" s="278"/>
      <c r="G203" s="278"/>
      <c r="H203" s="278"/>
      <c r="I203" s="278"/>
      <c r="J203" s="278"/>
      <c r="K203" s="278"/>
      <c r="L203" s="108">
        <v>2</v>
      </c>
      <c r="M203" s="109" t="s">
        <v>111</v>
      </c>
      <c r="N203" s="40" t="e">
        <f>#REF!</f>
        <v>#REF!</v>
      </c>
      <c r="O203" s="117" t="e">
        <f t="shared" si="23"/>
        <v>#REF!</v>
      </c>
      <c r="P203" s="111" t="e">
        <f t="shared" si="25"/>
        <v>#REF!</v>
      </c>
      <c r="Q203" s="112" t="e">
        <f t="shared" si="26"/>
        <v>#REF!</v>
      </c>
      <c r="R203" s="166" t="e">
        <f>#REF!</f>
        <v>#REF!</v>
      </c>
    </row>
    <row r="204" spans="1:18" s="105" customFormat="1" ht="15" customHeight="1">
      <c r="A204" s="101"/>
      <c r="B204" s="107" t="s">
        <v>334</v>
      </c>
      <c r="C204" s="280" t="s">
        <v>461</v>
      </c>
      <c r="D204" s="281"/>
      <c r="E204" s="281"/>
      <c r="F204" s="281"/>
      <c r="G204" s="281"/>
      <c r="H204" s="281"/>
      <c r="I204" s="281"/>
      <c r="J204" s="281"/>
      <c r="K204" s="282"/>
      <c r="L204" s="108">
        <f>60.2*L203</f>
        <v>120.4</v>
      </c>
      <c r="M204" s="109" t="s">
        <v>140</v>
      </c>
      <c r="N204" s="40">
        <v>0.79</v>
      </c>
      <c r="O204" s="117" t="e">
        <f t="shared" si="24"/>
        <v>#REF!</v>
      </c>
      <c r="P204" s="111" t="e">
        <f t="shared" si="25"/>
        <v>#REF!</v>
      </c>
      <c r="Q204" s="112" t="e">
        <f t="shared" si="26"/>
        <v>#REF!</v>
      </c>
      <c r="R204" s="113">
        <v>83725</v>
      </c>
    </row>
    <row r="205" spans="1:18" s="105" customFormat="1" ht="15" customHeight="1">
      <c r="A205" s="101"/>
      <c r="B205" s="107" t="s">
        <v>525</v>
      </c>
      <c r="C205" s="279" t="s">
        <v>713</v>
      </c>
      <c r="D205" s="278"/>
      <c r="E205" s="278"/>
      <c r="F205" s="278"/>
      <c r="G205" s="278"/>
      <c r="H205" s="278"/>
      <c r="I205" s="278"/>
      <c r="J205" s="278"/>
      <c r="K205" s="278"/>
      <c r="L205" s="108">
        <v>1</v>
      </c>
      <c r="M205" s="109" t="s">
        <v>111</v>
      </c>
      <c r="N205" s="40" t="e">
        <f>#REF!</f>
        <v>#REF!</v>
      </c>
      <c r="O205" s="117" t="e">
        <f t="shared" si="23"/>
        <v>#REF!</v>
      </c>
      <c r="P205" s="111" t="e">
        <f t="shared" si="25"/>
        <v>#REF!</v>
      </c>
      <c r="Q205" s="112" t="e">
        <f t="shared" si="26"/>
        <v>#REF!</v>
      </c>
      <c r="R205" s="166" t="e">
        <f>#REF!</f>
        <v>#REF!</v>
      </c>
    </row>
    <row r="206" spans="1:18" s="105" customFormat="1" ht="15" customHeight="1">
      <c r="A206" s="101"/>
      <c r="B206" s="107" t="s">
        <v>526</v>
      </c>
      <c r="C206" s="280" t="s">
        <v>461</v>
      </c>
      <c r="D206" s="281"/>
      <c r="E206" s="281"/>
      <c r="F206" s="281"/>
      <c r="G206" s="281"/>
      <c r="H206" s="281"/>
      <c r="I206" s="281"/>
      <c r="J206" s="281"/>
      <c r="K206" s="282"/>
      <c r="L206" s="108">
        <f>187.5*L205</f>
        <v>187.5</v>
      </c>
      <c r="M206" s="109" t="s">
        <v>140</v>
      </c>
      <c r="N206" s="40">
        <v>0.59</v>
      </c>
      <c r="O206" s="117" t="e">
        <f t="shared" si="24"/>
        <v>#REF!</v>
      </c>
      <c r="P206" s="111" t="e">
        <f t="shared" si="25"/>
        <v>#REF!</v>
      </c>
      <c r="Q206" s="112" t="e">
        <f t="shared" si="26"/>
        <v>#REF!</v>
      </c>
      <c r="R206" s="113">
        <v>83726</v>
      </c>
    </row>
    <row r="207" spans="1:18" s="105" customFormat="1" ht="15" customHeight="1">
      <c r="A207" s="101"/>
      <c r="B207" s="107" t="s">
        <v>527</v>
      </c>
      <c r="C207" s="279" t="s">
        <v>714</v>
      </c>
      <c r="D207" s="278"/>
      <c r="E207" s="278"/>
      <c r="F207" s="278"/>
      <c r="G207" s="278"/>
      <c r="H207" s="278"/>
      <c r="I207" s="278"/>
      <c r="J207" s="278"/>
      <c r="K207" s="278"/>
      <c r="L207" s="108">
        <v>1</v>
      </c>
      <c r="M207" s="109" t="s">
        <v>111</v>
      </c>
      <c r="N207" s="40" t="e">
        <f>#REF!</f>
        <v>#REF!</v>
      </c>
      <c r="O207" s="117" t="e">
        <f t="shared" si="23"/>
        <v>#REF!</v>
      </c>
      <c r="P207" s="111" t="e">
        <f t="shared" si="25"/>
        <v>#REF!</v>
      </c>
      <c r="Q207" s="112" t="e">
        <f t="shared" si="26"/>
        <v>#REF!</v>
      </c>
      <c r="R207" s="166" t="e">
        <f>#REF!</f>
        <v>#REF!</v>
      </c>
    </row>
    <row r="208" spans="1:18" s="105" customFormat="1" ht="15" customHeight="1">
      <c r="A208" s="101"/>
      <c r="B208" s="107" t="s">
        <v>528</v>
      </c>
      <c r="C208" s="280" t="s">
        <v>461</v>
      </c>
      <c r="D208" s="281"/>
      <c r="E208" s="281"/>
      <c r="F208" s="281"/>
      <c r="G208" s="281"/>
      <c r="H208" s="281"/>
      <c r="I208" s="281"/>
      <c r="J208" s="281"/>
      <c r="K208" s="282"/>
      <c r="L208" s="108">
        <f>299*L207</f>
        <v>299</v>
      </c>
      <c r="M208" s="109" t="s">
        <v>140</v>
      </c>
      <c r="N208" s="40">
        <v>0.59</v>
      </c>
      <c r="O208" s="117" t="e">
        <f t="shared" si="24"/>
        <v>#REF!</v>
      </c>
      <c r="P208" s="111" t="e">
        <f t="shared" si="25"/>
        <v>#REF!</v>
      </c>
      <c r="Q208" s="112" t="e">
        <f t="shared" si="26"/>
        <v>#REF!</v>
      </c>
      <c r="R208" s="113">
        <v>83726</v>
      </c>
    </row>
    <row r="209" spans="1:18" s="105" customFormat="1" ht="15" customHeight="1">
      <c r="A209" s="101"/>
      <c r="B209" s="107" t="s">
        <v>529</v>
      </c>
      <c r="C209" s="279" t="s">
        <v>715</v>
      </c>
      <c r="D209" s="278"/>
      <c r="E209" s="278"/>
      <c r="F209" s="278"/>
      <c r="G209" s="278"/>
      <c r="H209" s="278"/>
      <c r="I209" s="278"/>
      <c r="J209" s="278"/>
      <c r="K209" s="278"/>
      <c r="L209" s="108">
        <v>1</v>
      </c>
      <c r="M209" s="109" t="s">
        <v>111</v>
      </c>
      <c r="N209" s="40" t="e">
        <f>#REF!</f>
        <v>#REF!</v>
      </c>
      <c r="O209" s="117" t="e">
        <f t="shared" si="23"/>
        <v>#REF!</v>
      </c>
      <c r="P209" s="111" t="e">
        <f t="shared" si="25"/>
        <v>#REF!</v>
      </c>
      <c r="Q209" s="112" t="e">
        <f t="shared" si="26"/>
        <v>#REF!</v>
      </c>
      <c r="R209" s="166" t="e">
        <f>#REF!</f>
        <v>#REF!</v>
      </c>
    </row>
    <row r="210" spans="1:18" s="105" customFormat="1" ht="15" customHeight="1">
      <c r="A210" s="101"/>
      <c r="B210" s="107" t="s">
        <v>530</v>
      </c>
      <c r="C210" s="280" t="s">
        <v>461</v>
      </c>
      <c r="D210" s="281"/>
      <c r="E210" s="281"/>
      <c r="F210" s="281"/>
      <c r="G210" s="281"/>
      <c r="H210" s="281"/>
      <c r="I210" s="281"/>
      <c r="J210" s="281"/>
      <c r="K210" s="282"/>
      <c r="L210" s="108">
        <f>127*L209</f>
        <v>127</v>
      </c>
      <c r="M210" s="109" t="s">
        <v>140</v>
      </c>
      <c r="N210" s="40">
        <v>0.79</v>
      </c>
      <c r="O210" s="117" t="e">
        <f t="shared" si="24"/>
        <v>#REF!</v>
      </c>
      <c r="P210" s="111" t="e">
        <f t="shared" si="25"/>
        <v>#REF!</v>
      </c>
      <c r="Q210" s="112" t="e">
        <f t="shared" si="26"/>
        <v>#REF!</v>
      </c>
      <c r="R210" s="113">
        <v>83725</v>
      </c>
    </row>
    <row r="211" spans="1:18" s="105" customFormat="1" ht="15" customHeight="1">
      <c r="A211" s="101"/>
      <c r="B211" s="107" t="s">
        <v>531</v>
      </c>
      <c r="C211" s="279" t="s">
        <v>716</v>
      </c>
      <c r="D211" s="278"/>
      <c r="E211" s="278"/>
      <c r="F211" s="278"/>
      <c r="G211" s="278"/>
      <c r="H211" s="278"/>
      <c r="I211" s="278"/>
      <c r="J211" s="278"/>
      <c r="K211" s="278"/>
      <c r="L211" s="108">
        <v>1</v>
      </c>
      <c r="M211" s="109" t="s">
        <v>111</v>
      </c>
      <c r="N211" s="40" t="e">
        <f>#REF!</f>
        <v>#REF!</v>
      </c>
      <c r="O211" s="117" t="e">
        <f t="shared" si="23"/>
        <v>#REF!</v>
      </c>
      <c r="P211" s="111" t="e">
        <f t="shared" si="25"/>
        <v>#REF!</v>
      </c>
      <c r="Q211" s="112" t="e">
        <f t="shared" si="26"/>
        <v>#REF!</v>
      </c>
      <c r="R211" s="166" t="e">
        <f>#REF!</f>
        <v>#REF!</v>
      </c>
    </row>
    <row r="212" spans="1:18" s="105" customFormat="1" ht="15" customHeight="1">
      <c r="A212" s="101"/>
      <c r="B212" s="107" t="s">
        <v>532</v>
      </c>
      <c r="C212" s="280" t="s">
        <v>461</v>
      </c>
      <c r="D212" s="281"/>
      <c r="E212" s="281"/>
      <c r="F212" s="281"/>
      <c r="G212" s="281"/>
      <c r="H212" s="281"/>
      <c r="I212" s="281"/>
      <c r="J212" s="281"/>
      <c r="K212" s="282"/>
      <c r="L212" s="108">
        <f>241*L211</f>
        <v>241</v>
      </c>
      <c r="M212" s="109" t="s">
        <v>140</v>
      </c>
      <c r="N212" s="40">
        <v>0.79</v>
      </c>
      <c r="O212" s="117" t="e">
        <f t="shared" si="24"/>
        <v>#REF!</v>
      </c>
      <c r="P212" s="111" t="e">
        <f t="shared" si="25"/>
        <v>#REF!</v>
      </c>
      <c r="Q212" s="112" t="e">
        <f t="shared" si="26"/>
        <v>#REF!</v>
      </c>
      <c r="R212" s="113">
        <v>83725</v>
      </c>
    </row>
    <row r="213" spans="1:18" s="105" customFormat="1" ht="27" customHeight="1">
      <c r="A213" s="101"/>
      <c r="B213" s="107" t="s">
        <v>533</v>
      </c>
      <c r="C213" s="279" t="s">
        <v>968</v>
      </c>
      <c r="D213" s="278"/>
      <c r="E213" s="278"/>
      <c r="F213" s="278"/>
      <c r="G213" s="278"/>
      <c r="H213" s="278"/>
      <c r="I213" s="278"/>
      <c r="J213" s="278"/>
      <c r="K213" s="278"/>
      <c r="L213" s="108">
        <v>13</v>
      </c>
      <c r="M213" s="109" t="s">
        <v>111</v>
      </c>
      <c r="N213" s="40">
        <v>384.94</v>
      </c>
      <c r="O213" s="117" t="e">
        <f>(1+$N$3)</f>
        <v>#REF!</v>
      </c>
      <c r="P213" s="111" t="e">
        <f t="shared" si="18"/>
        <v>#REF!</v>
      </c>
      <c r="Q213" s="112" t="e">
        <f t="shared" si="19"/>
        <v>#REF!</v>
      </c>
      <c r="R213" s="113">
        <v>83267</v>
      </c>
    </row>
    <row r="214" spans="1:18" s="105" customFormat="1" ht="15" customHeight="1">
      <c r="A214" s="101"/>
      <c r="B214" s="107" t="s">
        <v>534</v>
      </c>
      <c r="C214" s="279" t="s">
        <v>717</v>
      </c>
      <c r="D214" s="278"/>
      <c r="E214" s="278"/>
      <c r="F214" s="278"/>
      <c r="G214" s="278"/>
      <c r="H214" s="278"/>
      <c r="I214" s="278"/>
      <c r="J214" s="278"/>
      <c r="K214" s="278"/>
      <c r="L214" s="108">
        <v>3</v>
      </c>
      <c r="M214" s="109" t="s">
        <v>111</v>
      </c>
      <c r="N214" s="40" t="e">
        <f>#REF!</f>
        <v>#REF!</v>
      </c>
      <c r="O214" s="117" t="e">
        <f aca="true" t="shared" si="27" ref="O214:O354">(1+$N$3)</f>
        <v>#REF!</v>
      </c>
      <c r="P214" s="111" t="e">
        <f aca="true" t="shared" si="28" ref="P214:P219">ROUND(N214*O214,2)</f>
        <v>#REF!</v>
      </c>
      <c r="Q214" s="112" t="e">
        <f aca="true" t="shared" si="29" ref="Q214:Q219">ROUND(L214*P214,2)</f>
        <v>#REF!</v>
      </c>
      <c r="R214" s="166" t="e">
        <f>#REF!</f>
        <v>#REF!</v>
      </c>
    </row>
    <row r="215" spans="1:18" s="105" customFormat="1" ht="15" customHeight="1">
      <c r="A215" s="101"/>
      <c r="B215" s="107" t="s">
        <v>535</v>
      </c>
      <c r="C215" s="280" t="s">
        <v>462</v>
      </c>
      <c r="D215" s="281"/>
      <c r="E215" s="281"/>
      <c r="F215" s="281"/>
      <c r="G215" s="281"/>
      <c r="H215" s="281"/>
      <c r="I215" s="281"/>
      <c r="J215" s="281"/>
      <c r="K215" s="282"/>
      <c r="L215" s="108">
        <f>93*L214</f>
        <v>279</v>
      </c>
      <c r="M215" s="167" t="s">
        <v>140</v>
      </c>
      <c r="N215" s="40">
        <v>1.29</v>
      </c>
      <c r="O215" s="117" t="e">
        <f aca="true" t="shared" si="30" ref="O215:O221">(1+$Q$3)</f>
        <v>#REF!</v>
      </c>
      <c r="P215" s="111" t="e">
        <f t="shared" si="28"/>
        <v>#REF!</v>
      </c>
      <c r="Q215" s="112" t="e">
        <f t="shared" si="29"/>
        <v>#REF!</v>
      </c>
      <c r="R215" s="113">
        <v>83724</v>
      </c>
    </row>
    <row r="216" spans="1:18" s="105" customFormat="1" ht="15" customHeight="1">
      <c r="A216" s="101"/>
      <c r="B216" s="107" t="s">
        <v>536</v>
      </c>
      <c r="C216" s="279" t="s">
        <v>718</v>
      </c>
      <c r="D216" s="278"/>
      <c r="E216" s="278"/>
      <c r="F216" s="278"/>
      <c r="G216" s="278"/>
      <c r="H216" s="278"/>
      <c r="I216" s="278"/>
      <c r="J216" s="278"/>
      <c r="K216" s="278"/>
      <c r="L216" s="108">
        <v>1</v>
      </c>
      <c r="M216" s="109" t="s">
        <v>111</v>
      </c>
      <c r="N216" s="40" t="e">
        <f>#REF!</f>
        <v>#REF!</v>
      </c>
      <c r="O216" s="117" t="e">
        <f t="shared" si="27"/>
        <v>#REF!</v>
      </c>
      <c r="P216" s="111" t="e">
        <f t="shared" si="28"/>
        <v>#REF!</v>
      </c>
      <c r="Q216" s="112" t="e">
        <f t="shared" si="29"/>
        <v>#REF!</v>
      </c>
      <c r="R216" s="166" t="e">
        <f>#REF!</f>
        <v>#REF!</v>
      </c>
    </row>
    <row r="217" spans="1:18" s="105" customFormat="1" ht="15" customHeight="1">
      <c r="A217" s="101"/>
      <c r="B217" s="107" t="s">
        <v>537</v>
      </c>
      <c r="C217" s="280" t="s">
        <v>462</v>
      </c>
      <c r="D217" s="281"/>
      <c r="E217" s="281"/>
      <c r="F217" s="281"/>
      <c r="G217" s="281"/>
      <c r="H217" s="281"/>
      <c r="I217" s="281"/>
      <c r="J217" s="281"/>
      <c r="K217" s="282"/>
      <c r="L217" s="108">
        <f>148*L216</f>
        <v>148</v>
      </c>
      <c r="M217" s="167" t="s">
        <v>140</v>
      </c>
      <c r="N217" s="40">
        <v>1.29</v>
      </c>
      <c r="O217" s="117" t="e">
        <f t="shared" si="30"/>
        <v>#REF!</v>
      </c>
      <c r="P217" s="111" t="e">
        <f t="shared" si="28"/>
        <v>#REF!</v>
      </c>
      <c r="Q217" s="112" t="e">
        <f t="shared" si="29"/>
        <v>#REF!</v>
      </c>
      <c r="R217" s="113">
        <v>83725</v>
      </c>
    </row>
    <row r="218" spans="1:18" s="105" customFormat="1" ht="15" customHeight="1">
      <c r="A218" s="101"/>
      <c r="B218" s="107" t="s">
        <v>538</v>
      </c>
      <c r="C218" s="279" t="s">
        <v>719</v>
      </c>
      <c r="D218" s="278"/>
      <c r="E218" s="278"/>
      <c r="F218" s="278"/>
      <c r="G218" s="278"/>
      <c r="H218" s="278"/>
      <c r="I218" s="278"/>
      <c r="J218" s="278"/>
      <c r="K218" s="278"/>
      <c r="L218" s="108">
        <v>1</v>
      </c>
      <c r="M218" s="109" t="s">
        <v>111</v>
      </c>
      <c r="N218" s="40" t="e">
        <f>#REF!</f>
        <v>#REF!</v>
      </c>
      <c r="O218" s="117" t="e">
        <f t="shared" si="27"/>
        <v>#REF!</v>
      </c>
      <c r="P218" s="111" t="e">
        <f t="shared" si="28"/>
        <v>#REF!</v>
      </c>
      <c r="Q218" s="112" t="e">
        <f t="shared" si="29"/>
        <v>#REF!</v>
      </c>
      <c r="R218" s="166" t="e">
        <f>#REF!</f>
        <v>#REF!</v>
      </c>
    </row>
    <row r="219" spans="1:18" s="105" customFormat="1" ht="15" customHeight="1">
      <c r="A219" s="101"/>
      <c r="B219" s="107" t="s">
        <v>832</v>
      </c>
      <c r="C219" s="280" t="s">
        <v>462</v>
      </c>
      <c r="D219" s="281"/>
      <c r="E219" s="281"/>
      <c r="F219" s="281"/>
      <c r="G219" s="281"/>
      <c r="H219" s="281"/>
      <c r="I219" s="281"/>
      <c r="J219" s="281"/>
      <c r="K219" s="282"/>
      <c r="L219" s="108">
        <v>1.43</v>
      </c>
      <c r="M219" s="109" t="s">
        <v>78</v>
      </c>
      <c r="N219" s="40">
        <v>12</v>
      </c>
      <c r="O219" s="117" t="e">
        <f t="shared" si="30"/>
        <v>#REF!</v>
      </c>
      <c r="P219" s="111" t="e">
        <f t="shared" si="28"/>
        <v>#REF!</v>
      </c>
      <c r="Q219" s="112" t="e">
        <f t="shared" si="29"/>
        <v>#REF!</v>
      </c>
      <c r="R219" s="113" t="s">
        <v>468</v>
      </c>
    </row>
    <row r="220" spans="1:18" s="105" customFormat="1" ht="15" customHeight="1">
      <c r="A220" s="101"/>
      <c r="B220" s="107" t="s">
        <v>833</v>
      </c>
      <c r="C220" s="279" t="s">
        <v>269</v>
      </c>
      <c r="D220" s="278"/>
      <c r="E220" s="278"/>
      <c r="F220" s="278"/>
      <c r="G220" s="278"/>
      <c r="H220" s="278"/>
      <c r="I220" s="278"/>
      <c r="J220" s="278"/>
      <c r="K220" s="278"/>
      <c r="L220" s="108">
        <v>1</v>
      </c>
      <c r="M220" s="109" t="s">
        <v>111</v>
      </c>
      <c r="N220" s="40" t="e">
        <f>#REF!</f>
        <v>#REF!</v>
      </c>
      <c r="O220" s="117" t="e">
        <f t="shared" si="27"/>
        <v>#REF!</v>
      </c>
      <c r="P220" s="111" t="e">
        <f t="shared" si="18"/>
        <v>#REF!</v>
      </c>
      <c r="Q220" s="112" t="e">
        <f t="shared" si="19"/>
        <v>#REF!</v>
      </c>
      <c r="R220" s="113" t="e">
        <f>#REF!</f>
        <v>#REF!</v>
      </c>
    </row>
    <row r="221" spans="1:18" s="105" customFormat="1" ht="15" customHeight="1">
      <c r="A221" s="101"/>
      <c r="B221" s="107" t="s">
        <v>539</v>
      </c>
      <c r="C221" s="280" t="s">
        <v>462</v>
      </c>
      <c r="D221" s="281"/>
      <c r="E221" s="281"/>
      <c r="F221" s="281"/>
      <c r="G221" s="281"/>
      <c r="H221" s="281"/>
      <c r="I221" s="281"/>
      <c r="J221" s="281"/>
      <c r="K221" s="282"/>
      <c r="L221" s="108">
        <f>735.58</f>
        <v>735.58</v>
      </c>
      <c r="M221" s="109" t="s">
        <v>78</v>
      </c>
      <c r="N221" s="40">
        <v>18.65</v>
      </c>
      <c r="O221" s="117" t="e">
        <f t="shared" si="30"/>
        <v>#REF!</v>
      </c>
      <c r="P221" s="111" t="e">
        <f t="shared" si="18"/>
        <v>#REF!</v>
      </c>
      <c r="Q221" s="112" t="e">
        <f t="shared" si="19"/>
        <v>#REF!</v>
      </c>
      <c r="R221" s="113" t="s">
        <v>464</v>
      </c>
    </row>
    <row r="222" spans="1:18" s="105" customFormat="1" ht="15" customHeight="1">
      <c r="A222" s="101"/>
      <c r="B222" s="107" t="s">
        <v>540</v>
      </c>
      <c r="C222" s="279" t="s">
        <v>270</v>
      </c>
      <c r="D222" s="278"/>
      <c r="E222" s="278"/>
      <c r="F222" s="278"/>
      <c r="G222" s="278"/>
      <c r="H222" s="278"/>
      <c r="I222" s="278"/>
      <c r="J222" s="278"/>
      <c r="K222" s="278"/>
      <c r="L222" s="108">
        <v>1</v>
      </c>
      <c r="M222" s="109" t="s">
        <v>111</v>
      </c>
      <c r="N222" s="40" t="e">
        <f>#REF!</f>
        <v>#REF!</v>
      </c>
      <c r="O222" s="117" t="e">
        <f t="shared" si="27"/>
        <v>#REF!</v>
      </c>
      <c r="P222" s="111" t="e">
        <f t="shared" si="18"/>
        <v>#REF!</v>
      </c>
      <c r="Q222" s="112" t="e">
        <f t="shared" si="19"/>
        <v>#REF!</v>
      </c>
      <c r="R222" s="113" t="e">
        <f>#REF!</f>
        <v>#REF!</v>
      </c>
    </row>
    <row r="223" spans="1:18" s="105" customFormat="1" ht="15" customHeight="1">
      <c r="A223" s="101"/>
      <c r="B223" s="107" t="s">
        <v>541</v>
      </c>
      <c r="C223" s="280" t="s">
        <v>462</v>
      </c>
      <c r="D223" s="281"/>
      <c r="E223" s="281"/>
      <c r="F223" s="281"/>
      <c r="G223" s="281"/>
      <c r="H223" s="281"/>
      <c r="I223" s="281"/>
      <c r="J223" s="281"/>
      <c r="K223" s="282"/>
      <c r="L223" s="108">
        <f>810.08</f>
        <v>810.08</v>
      </c>
      <c r="M223" s="109" t="s">
        <v>78</v>
      </c>
      <c r="N223" s="40">
        <v>18.65</v>
      </c>
      <c r="O223" s="117" t="e">
        <f>(1+$Q$3)</f>
        <v>#REF!</v>
      </c>
      <c r="P223" s="111" t="e">
        <f t="shared" si="18"/>
        <v>#REF!</v>
      </c>
      <c r="Q223" s="112" t="e">
        <f t="shared" si="19"/>
        <v>#REF!</v>
      </c>
      <c r="R223" s="113" t="s">
        <v>464</v>
      </c>
    </row>
    <row r="224" spans="1:18" s="105" customFormat="1" ht="15" customHeight="1">
      <c r="A224" s="101"/>
      <c r="B224" s="107" t="s">
        <v>542</v>
      </c>
      <c r="C224" s="279" t="s">
        <v>271</v>
      </c>
      <c r="D224" s="278"/>
      <c r="E224" s="278"/>
      <c r="F224" s="278"/>
      <c r="G224" s="278"/>
      <c r="H224" s="278"/>
      <c r="I224" s="278"/>
      <c r="J224" s="278"/>
      <c r="K224" s="278"/>
      <c r="L224" s="108">
        <v>1</v>
      </c>
      <c r="M224" s="109" t="s">
        <v>111</v>
      </c>
      <c r="N224" s="40" t="e">
        <f>#REF!</f>
        <v>#REF!</v>
      </c>
      <c r="O224" s="117" t="e">
        <f t="shared" si="27"/>
        <v>#REF!</v>
      </c>
      <c r="P224" s="111" t="e">
        <f t="shared" si="18"/>
        <v>#REF!</v>
      </c>
      <c r="Q224" s="112" t="e">
        <f t="shared" si="19"/>
        <v>#REF!</v>
      </c>
      <c r="R224" s="113" t="e">
        <f>#REF!</f>
        <v>#REF!</v>
      </c>
    </row>
    <row r="225" spans="1:18" s="105" customFormat="1" ht="15" customHeight="1">
      <c r="A225" s="101"/>
      <c r="B225" s="107" t="s">
        <v>543</v>
      </c>
      <c r="C225" s="280" t="s">
        <v>462</v>
      </c>
      <c r="D225" s="281"/>
      <c r="E225" s="281"/>
      <c r="F225" s="281"/>
      <c r="G225" s="281"/>
      <c r="H225" s="281"/>
      <c r="I225" s="281"/>
      <c r="J225" s="281"/>
      <c r="K225" s="282"/>
      <c r="L225" s="108">
        <f>621.14</f>
        <v>621.14</v>
      </c>
      <c r="M225" s="109" t="s">
        <v>78</v>
      </c>
      <c r="N225" s="40">
        <v>18.65</v>
      </c>
      <c r="O225" s="117" t="e">
        <f>(1+$Q$3)</f>
        <v>#REF!</v>
      </c>
      <c r="P225" s="111" t="e">
        <f t="shared" si="18"/>
        <v>#REF!</v>
      </c>
      <c r="Q225" s="112" t="e">
        <f t="shared" si="19"/>
        <v>#REF!</v>
      </c>
      <c r="R225" s="113" t="s">
        <v>464</v>
      </c>
    </row>
    <row r="226" spans="1:18" s="105" customFormat="1" ht="15" customHeight="1">
      <c r="A226" s="101"/>
      <c r="B226" s="107" t="s">
        <v>544</v>
      </c>
      <c r="C226" s="279" t="s">
        <v>272</v>
      </c>
      <c r="D226" s="278"/>
      <c r="E226" s="278"/>
      <c r="F226" s="278"/>
      <c r="G226" s="278"/>
      <c r="H226" s="278"/>
      <c r="I226" s="278"/>
      <c r="J226" s="278"/>
      <c r="K226" s="278"/>
      <c r="L226" s="108">
        <v>1</v>
      </c>
      <c r="M226" s="109" t="s">
        <v>111</v>
      </c>
      <c r="N226" s="40" t="e">
        <f>#REF!</f>
        <v>#REF!</v>
      </c>
      <c r="O226" s="117" t="e">
        <f t="shared" si="27"/>
        <v>#REF!</v>
      </c>
      <c r="P226" s="111" t="e">
        <f t="shared" si="18"/>
        <v>#REF!</v>
      </c>
      <c r="Q226" s="112" t="e">
        <f t="shared" si="19"/>
        <v>#REF!</v>
      </c>
      <c r="R226" s="113" t="e">
        <f>#REF!</f>
        <v>#REF!</v>
      </c>
    </row>
    <row r="227" spans="1:18" s="105" customFormat="1" ht="15" customHeight="1">
      <c r="A227" s="101"/>
      <c r="B227" s="107" t="s">
        <v>545</v>
      </c>
      <c r="C227" s="280" t="s">
        <v>462</v>
      </c>
      <c r="D227" s="281"/>
      <c r="E227" s="281"/>
      <c r="F227" s="281"/>
      <c r="G227" s="281"/>
      <c r="H227" s="281"/>
      <c r="I227" s="281"/>
      <c r="J227" s="281"/>
      <c r="K227" s="282"/>
      <c r="L227" s="108">
        <f>919.47</f>
        <v>919.47</v>
      </c>
      <c r="M227" s="109" t="s">
        <v>78</v>
      </c>
      <c r="N227" s="40">
        <v>18.65</v>
      </c>
      <c r="O227" s="117" t="e">
        <f>(1+$Q$3)</f>
        <v>#REF!</v>
      </c>
      <c r="P227" s="111" t="e">
        <f t="shared" si="18"/>
        <v>#REF!</v>
      </c>
      <c r="Q227" s="112" t="e">
        <f t="shared" si="19"/>
        <v>#REF!</v>
      </c>
      <c r="R227" s="113" t="s">
        <v>464</v>
      </c>
    </row>
    <row r="228" spans="1:18" s="105" customFormat="1" ht="15" customHeight="1">
      <c r="A228" s="101"/>
      <c r="B228" s="107" t="s">
        <v>546</v>
      </c>
      <c r="C228" s="279" t="s">
        <v>273</v>
      </c>
      <c r="D228" s="278"/>
      <c r="E228" s="278"/>
      <c r="F228" s="278"/>
      <c r="G228" s="278"/>
      <c r="H228" s="278"/>
      <c r="I228" s="278"/>
      <c r="J228" s="278"/>
      <c r="K228" s="278"/>
      <c r="L228" s="108">
        <v>4</v>
      </c>
      <c r="M228" s="109" t="s">
        <v>111</v>
      </c>
      <c r="N228" s="40" t="e">
        <f>#REF!</f>
        <v>#REF!</v>
      </c>
      <c r="O228" s="117" t="e">
        <f t="shared" si="27"/>
        <v>#REF!</v>
      </c>
      <c r="P228" s="111" t="e">
        <f t="shared" si="18"/>
        <v>#REF!</v>
      </c>
      <c r="Q228" s="112" t="e">
        <f t="shared" si="19"/>
        <v>#REF!</v>
      </c>
      <c r="R228" s="113" t="e">
        <f>#REF!</f>
        <v>#REF!</v>
      </c>
    </row>
    <row r="229" spans="1:18" s="105" customFormat="1" ht="15" customHeight="1">
      <c r="A229" s="101"/>
      <c r="B229" s="107" t="s">
        <v>547</v>
      </c>
      <c r="C229" s="280" t="s">
        <v>462</v>
      </c>
      <c r="D229" s="281"/>
      <c r="E229" s="281"/>
      <c r="F229" s="281"/>
      <c r="G229" s="281"/>
      <c r="H229" s="281"/>
      <c r="I229" s="281"/>
      <c r="J229" s="281"/>
      <c r="K229" s="282"/>
      <c r="L229" s="108">
        <v>1522.96</v>
      </c>
      <c r="M229" s="109" t="s">
        <v>78</v>
      </c>
      <c r="N229" s="40">
        <v>18.65</v>
      </c>
      <c r="O229" s="117" t="e">
        <f>(1+$Q$3)</f>
        <v>#REF!</v>
      </c>
      <c r="P229" s="111" t="e">
        <f t="shared" si="18"/>
        <v>#REF!</v>
      </c>
      <c r="Q229" s="112" t="e">
        <f t="shared" si="19"/>
        <v>#REF!</v>
      </c>
      <c r="R229" s="113" t="s">
        <v>464</v>
      </c>
    </row>
    <row r="230" spans="1:18" s="105" customFormat="1" ht="15" customHeight="1">
      <c r="A230" s="101"/>
      <c r="B230" s="107" t="s">
        <v>548</v>
      </c>
      <c r="C230" s="279" t="s">
        <v>720</v>
      </c>
      <c r="D230" s="278"/>
      <c r="E230" s="278"/>
      <c r="F230" s="278"/>
      <c r="G230" s="278"/>
      <c r="H230" s="278"/>
      <c r="I230" s="278"/>
      <c r="J230" s="278"/>
      <c r="K230" s="278"/>
      <c r="L230" s="108">
        <v>1</v>
      </c>
      <c r="M230" s="109" t="s">
        <v>111</v>
      </c>
      <c r="N230" s="40" t="e">
        <f>#REF!</f>
        <v>#REF!</v>
      </c>
      <c r="O230" s="117" t="e">
        <f t="shared" si="27"/>
        <v>#REF!</v>
      </c>
      <c r="P230" s="111" t="e">
        <f>ROUND(N230*O230,2)</f>
        <v>#REF!</v>
      </c>
      <c r="Q230" s="112" t="e">
        <f>ROUND(L230*P230,2)</f>
        <v>#REF!</v>
      </c>
      <c r="R230" s="113" t="e">
        <f>#REF!</f>
        <v>#REF!</v>
      </c>
    </row>
    <row r="231" spans="1:18" s="105" customFormat="1" ht="15" customHeight="1">
      <c r="A231" s="101"/>
      <c r="B231" s="107" t="s">
        <v>549</v>
      </c>
      <c r="C231" s="280" t="s">
        <v>462</v>
      </c>
      <c r="D231" s="281"/>
      <c r="E231" s="281"/>
      <c r="F231" s="281"/>
      <c r="G231" s="281"/>
      <c r="H231" s="281"/>
      <c r="I231" s="281"/>
      <c r="J231" s="281"/>
      <c r="K231" s="282"/>
      <c r="L231" s="108">
        <v>2.168</v>
      </c>
      <c r="M231" s="109" t="s">
        <v>78</v>
      </c>
      <c r="N231" s="40">
        <v>23.49</v>
      </c>
      <c r="O231" s="117" t="e">
        <f>(1+$Q$3)</f>
        <v>#REF!</v>
      </c>
      <c r="P231" s="111" t="e">
        <f>ROUND(N231*O231,2)</f>
        <v>#REF!</v>
      </c>
      <c r="Q231" s="112" t="e">
        <f>ROUND(L231*P231,2)</f>
        <v>#REF!</v>
      </c>
      <c r="R231" s="113" t="s">
        <v>465</v>
      </c>
    </row>
    <row r="232" spans="1:18" s="105" customFormat="1" ht="15" customHeight="1">
      <c r="A232" s="101"/>
      <c r="B232" s="107" t="s">
        <v>623</v>
      </c>
      <c r="C232" s="279" t="s">
        <v>721</v>
      </c>
      <c r="D232" s="279"/>
      <c r="E232" s="279"/>
      <c r="F232" s="279"/>
      <c r="G232" s="279"/>
      <c r="H232" s="279"/>
      <c r="I232" s="279"/>
      <c r="J232" s="279"/>
      <c r="K232" s="279"/>
      <c r="L232" s="108">
        <v>1</v>
      </c>
      <c r="M232" s="109" t="s">
        <v>111</v>
      </c>
      <c r="N232" s="40" t="e">
        <f>#REF!</f>
        <v>#REF!</v>
      </c>
      <c r="O232" s="117" t="e">
        <f t="shared" si="27"/>
        <v>#REF!</v>
      </c>
      <c r="P232" s="111" t="e">
        <f>ROUND(N232*O232,2)</f>
        <v>#REF!</v>
      </c>
      <c r="Q232" s="112" t="e">
        <f>ROUND(L232*P232,2)</f>
        <v>#REF!</v>
      </c>
      <c r="R232" s="113" t="e">
        <f>#REF!</f>
        <v>#REF!</v>
      </c>
    </row>
    <row r="233" spans="1:18" s="105" customFormat="1" ht="15" customHeight="1">
      <c r="A233" s="101"/>
      <c r="B233" s="107" t="s">
        <v>624</v>
      </c>
      <c r="C233" s="280" t="s">
        <v>462</v>
      </c>
      <c r="D233" s="281"/>
      <c r="E233" s="281"/>
      <c r="F233" s="281"/>
      <c r="G233" s="281"/>
      <c r="H233" s="281"/>
      <c r="I233" s="281"/>
      <c r="J233" s="281"/>
      <c r="K233" s="282"/>
      <c r="L233" s="108">
        <v>4.58</v>
      </c>
      <c r="M233" s="109" t="s">
        <v>78</v>
      </c>
      <c r="N233" s="40">
        <v>23.49</v>
      </c>
      <c r="O233" s="117" t="e">
        <f>(1+$Q$3)</f>
        <v>#REF!</v>
      </c>
      <c r="P233" s="111" t="e">
        <f>ROUND(N233*O233,2)</f>
        <v>#REF!</v>
      </c>
      <c r="Q233" s="112" t="e">
        <f>ROUND(L233*P233,2)</f>
        <v>#REF!</v>
      </c>
      <c r="R233" s="113" t="s">
        <v>465</v>
      </c>
    </row>
    <row r="234" spans="1:18" s="105" customFormat="1" ht="15" customHeight="1">
      <c r="A234" s="101"/>
      <c r="B234" s="107" t="s">
        <v>625</v>
      </c>
      <c r="C234" s="279" t="s">
        <v>274</v>
      </c>
      <c r="D234" s="278"/>
      <c r="E234" s="278"/>
      <c r="F234" s="278"/>
      <c r="G234" s="278"/>
      <c r="H234" s="278"/>
      <c r="I234" s="278"/>
      <c r="J234" s="278"/>
      <c r="K234" s="278"/>
      <c r="L234" s="108">
        <v>1</v>
      </c>
      <c r="M234" s="109" t="s">
        <v>111</v>
      </c>
      <c r="N234" s="40" t="e">
        <f>#REF!</f>
        <v>#REF!</v>
      </c>
      <c r="O234" s="117" t="e">
        <f t="shared" si="27"/>
        <v>#REF!</v>
      </c>
      <c r="P234" s="111" t="e">
        <f t="shared" si="18"/>
        <v>#REF!</v>
      </c>
      <c r="Q234" s="112" t="e">
        <f t="shared" si="19"/>
        <v>#REF!</v>
      </c>
      <c r="R234" s="113" t="e">
        <f>#REF!</f>
        <v>#REF!</v>
      </c>
    </row>
    <row r="235" spans="1:18" s="105" customFormat="1" ht="15" customHeight="1">
      <c r="A235" s="101"/>
      <c r="B235" s="107" t="s">
        <v>626</v>
      </c>
      <c r="C235" s="280" t="s">
        <v>462</v>
      </c>
      <c r="D235" s="281"/>
      <c r="E235" s="281"/>
      <c r="F235" s="281"/>
      <c r="G235" s="281"/>
      <c r="H235" s="281"/>
      <c r="I235" s="281"/>
      <c r="J235" s="281"/>
      <c r="K235" s="282"/>
      <c r="L235" s="108">
        <v>937.62</v>
      </c>
      <c r="M235" s="109" t="s">
        <v>78</v>
      </c>
      <c r="N235" s="40">
        <v>23.49</v>
      </c>
      <c r="O235" s="117" t="e">
        <f>(1+$Q$3)</f>
        <v>#REF!</v>
      </c>
      <c r="P235" s="111" t="e">
        <f t="shared" si="18"/>
        <v>#REF!</v>
      </c>
      <c r="Q235" s="112" t="e">
        <f t="shared" si="19"/>
        <v>#REF!</v>
      </c>
      <c r="R235" s="113" t="s">
        <v>465</v>
      </c>
    </row>
    <row r="236" spans="1:18" s="105" customFormat="1" ht="15" customHeight="1">
      <c r="A236" s="101"/>
      <c r="B236" s="107" t="s">
        <v>627</v>
      </c>
      <c r="C236" s="278" t="s">
        <v>275</v>
      </c>
      <c r="D236" s="278"/>
      <c r="E236" s="278"/>
      <c r="F236" s="278"/>
      <c r="G236" s="278"/>
      <c r="H236" s="278"/>
      <c r="I236" s="278"/>
      <c r="J236" s="278"/>
      <c r="K236" s="278"/>
      <c r="L236" s="108">
        <v>2</v>
      </c>
      <c r="M236" s="109" t="s">
        <v>111</v>
      </c>
      <c r="N236" s="40" t="e">
        <f>#REF!</f>
        <v>#REF!</v>
      </c>
      <c r="O236" s="117" t="e">
        <f t="shared" si="27"/>
        <v>#REF!</v>
      </c>
      <c r="P236" s="111" t="e">
        <f t="shared" si="18"/>
        <v>#REF!</v>
      </c>
      <c r="Q236" s="112" t="e">
        <f t="shared" si="19"/>
        <v>#REF!</v>
      </c>
      <c r="R236" s="113" t="e">
        <f>#REF!</f>
        <v>#REF!</v>
      </c>
    </row>
    <row r="237" spans="1:18" s="105" customFormat="1" ht="15" customHeight="1">
      <c r="A237" s="101"/>
      <c r="B237" s="107" t="s">
        <v>628</v>
      </c>
      <c r="C237" s="280" t="s">
        <v>462</v>
      </c>
      <c r="D237" s="281"/>
      <c r="E237" s="281"/>
      <c r="F237" s="281"/>
      <c r="G237" s="281"/>
      <c r="H237" s="281"/>
      <c r="I237" s="281"/>
      <c r="J237" s="281"/>
      <c r="K237" s="282"/>
      <c r="L237" s="108">
        <v>2772.08</v>
      </c>
      <c r="M237" s="109" t="s">
        <v>78</v>
      </c>
      <c r="N237" s="40">
        <v>23.49</v>
      </c>
      <c r="O237" s="117" t="e">
        <f>(1+$Q$3)</f>
        <v>#REF!</v>
      </c>
      <c r="P237" s="111" t="e">
        <f t="shared" si="18"/>
        <v>#REF!</v>
      </c>
      <c r="Q237" s="112" t="e">
        <f t="shared" si="19"/>
        <v>#REF!</v>
      </c>
      <c r="R237" s="113" t="s">
        <v>465</v>
      </c>
    </row>
    <row r="238" spans="1:18" s="105" customFormat="1" ht="15" customHeight="1">
      <c r="A238" s="101"/>
      <c r="B238" s="107" t="s">
        <v>629</v>
      </c>
      <c r="C238" s="279" t="s">
        <v>722</v>
      </c>
      <c r="D238" s="278"/>
      <c r="E238" s="278"/>
      <c r="F238" s="278"/>
      <c r="G238" s="278"/>
      <c r="H238" s="278"/>
      <c r="I238" s="278"/>
      <c r="J238" s="278"/>
      <c r="K238" s="278"/>
      <c r="L238" s="108">
        <v>1</v>
      </c>
      <c r="M238" s="109" t="s">
        <v>111</v>
      </c>
      <c r="N238" s="40" t="e">
        <f>#REF!</f>
        <v>#REF!</v>
      </c>
      <c r="O238" s="117" t="e">
        <f t="shared" si="27"/>
        <v>#REF!</v>
      </c>
      <c r="P238" s="111" t="e">
        <f aca="true" t="shared" si="31" ref="P238:P243">ROUND(N238*O238,2)</f>
        <v>#REF!</v>
      </c>
      <c r="Q238" s="112" t="e">
        <f aca="true" t="shared" si="32" ref="Q238:Q243">ROUND(L238*P238,2)</f>
        <v>#REF!</v>
      </c>
      <c r="R238" s="113" t="e">
        <f>#REF!</f>
        <v>#REF!</v>
      </c>
    </row>
    <row r="239" spans="1:18" s="105" customFormat="1" ht="15" customHeight="1">
      <c r="A239" s="101"/>
      <c r="B239" s="107" t="s">
        <v>630</v>
      </c>
      <c r="C239" s="280" t="s">
        <v>462</v>
      </c>
      <c r="D239" s="281"/>
      <c r="E239" s="281"/>
      <c r="F239" s="281"/>
      <c r="G239" s="281"/>
      <c r="H239" s="281"/>
      <c r="I239" s="281"/>
      <c r="J239" s="281"/>
      <c r="K239" s="282"/>
      <c r="L239" s="108">
        <v>1.076</v>
      </c>
      <c r="M239" s="109" t="s">
        <v>78</v>
      </c>
      <c r="N239" s="40">
        <v>23.49</v>
      </c>
      <c r="O239" s="117" t="e">
        <f>(1+$Q$3)</f>
        <v>#REF!</v>
      </c>
      <c r="P239" s="111" t="e">
        <f t="shared" si="31"/>
        <v>#REF!</v>
      </c>
      <c r="Q239" s="112" t="e">
        <f t="shared" si="32"/>
        <v>#REF!</v>
      </c>
      <c r="R239" s="113" t="s">
        <v>465</v>
      </c>
    </row>
    <row r="240" spans="1:18" s="105" customFormat="1" ht="15" customHeight="1">
      <c r="A240" s="101"/>
      <c r="B240" s="107" t="s">
        <v>631</v>
      </c>
      <c r="C240" s="279" t="s">
        <v>723</v>
      </c>
      <c r="D240" s="278"/>
      <c r="E240" s="278"/>
      <c r="F240" s="278"/>
      <c r="G240" s="278"/>
      <c r="H240" s="278"/>
      <c r="I240" s="278"/>
      <c r="J240" s="278"/>
      <c r="K240" s="278"/>
      <c r="L240" s="108">
        <v>1</v>
      </c>
      <c r="M240" s="109" t="s">
        <v>111</v>
      </c>
      <c r="N240" s="40" t="e">
        <f>#REF!</f>
        <v>#REF!</v>
      </c>
      <c r="O240" s="117" t="e">
        <f t="shared" si="27"/>
        <v>#REF!</v>
      </c>
      <c r="P240" s="111" t="e">
        <f t="shared" si="31"/>
        <v>#REF!</v>
      </c>
      <c r="Q240" s="112" t="e">
        <f t="shared" si="32"/>
        <v>#REF!</v>
      </c>
      <c r="R240" s="113" t="e">
        <f>#REF!</f>
        <v>#REF!</v>
      </c>
    </row>
    <row r="241" spans="1:18" s="105" customFormat="1" ht="15" customHeight="1">
      <c r="A241" s="101"/>
      <c r="B241" s="107" t="s">
        <v>632</v>
      </c>
      <c r="C241" s="280" t="s">
        <v>462</v>
      </c>
      <c r="D241" s="281"/>
      <c r="E241" s="281"/>
      <c r="F241" s="281"/>
      <c r="G241" s="281"/>
      <c r="H241" s="281"/>
      <c r="I241" s="281"/>
      <c r="J241" s="281"/>
      <c r="K241" s="282"/>
      <c r="L241" s="108">
        <v>6.656</v>
      </c>
      <c r="M241" s="109" t="s">
        <v>78</v>
      </c>
      <c r="N241" s="40">
        <v>23.49</v>
      </c>
      <c r="O241" s="117" t="e">
        <f>(1+$Q$3)</f>
        <v>#REF!</v>
      </c>
      <c r="P241" s="111" t="e">
        <f t="shared" si="31"/>
        <v>#REF!</v>
      </c>
      <c r="Q241" s="112" t="e">
        <f t="shared" si="32"/>
        <v>#REF!</v>
      </c>
      <c r="R241" s="113" t="s">
        <v>465</v>
      </c>
    </row>
    <row r="242" spans="1:18" s="172" customFormat="1" ht="15" customHeight="1">
      <c r="A242" s="169"/>
      <c r="B242" s="170" t="s">
        <v>633</v>
      </c>
      <c r="C242" s="279" t="s">
        <v>724</v>
      </c>
      <c r="D242" s="279"/>
      <c r="E242" s="279"/>
      <c r="F242" s="279"/>
      <c r="G242" s="279"/>
      <c r="H242" s="279"/>
      <c r="I242" s="279"/>
      <c r="J242" s="279"/>
      <c r="K242" s="279"/>
      <c r="L242" s="40">
        <v>1</v>
      </c>
      <c r="M242" s="167" t="s">
        <v>111</v>
      </c>
      <c r="N242" s="40" t="e">
        <f>#REF!</f>
        <v>#REF!</v>
      </c>
      <c r="O242" s="171" t="e">
        <f t="shared" si="27"/>
        <v>#REF!</v>
      </c>
      <c r="P242" s="26" t="e">
        <f t="shared" si="31"/>
        <v>#REF!</v>
      </c>
      <c r="Q242" s="81" t="e">
        <f t="shared" si="32"/>
        <v>#REF!</v>
      </c>
      <c r="R242" s="166" t="e">
        <f>#REF!</f>
        <v>#REF!</v>
      </c>
    </row>
    <row r="243" spans="1:18" s="105" customFormat="1" ht="15" customHeight="1">
      <c r="A243" s="101"/>
      <c r="B243" s="107" t="s">
        <v>634</v>
      </c>
      <c r="C243" s="280" t="s">
        <v>462</v>
      </c>
      <c r="D243" s="281"/>
      <c r="E243" s="281"/>
      <c r="F243" s="281"/>
      <c r="G243" s="281"/>
      <c r="H243" s="281"/>
      <c r="I243" s="281"/>
      <c r="J243" s="281"/>
      <c r="K243" s="282"/>
      <c r="L243" s="108">
        <v>4.262</v>
      </c>
      <c r="M243" s="109" t="s">
        <v>78</v>
      </c>
      <c r="N243" s="40">
        <v>18.65</v>
      </c>
      <c r="O243" s="117" t="e">
        <f>(1+$Q$3)</f>
        <v>#REF!</v>
      </c>
      <c r="P243" s="111" t="e">
        <f t="shared" si="31"/>
        <v>#REF!</v>
      </c>
      <c r="Q243" s="112" t="e">
        <f t="shared" si="32"/>
        <v>#REF!</v>
      </c>
      <c r="R243" s="113" t="s">
        <v>464</v>
      </c>
    </row>
    <row r="244" spans="1:18" s="105" customFormat="1" ht="15" customHeight="1">
      <c r="A244" s="101"/>
      <c r="B244" s="107" t="s">
        <v>635</v>
      </c>
      <c r="C244" s="279" t="s">
        <v>276</v>
      </c>
      <c r="D244" s="278"/>
      <c r="E244" s="278"/>
      <c r="F244" s="278"/>
      <c r="G244" s="278"/>
      <c r="H244" s="278"/>
      <c r="I244" s="278"/>
      <c r="J244" s="278"/>
      <c r="K244" s="278"/>
      <c r="L244" s="108">
        <v>1</v>
      </c>
      <c r="M244" s="109" t="s">
        <v>111</v>
      </c>
      <c r="N244" s="40" t="e">
        <f>#REF!</f>
        <v>#REF!</v>
      </c>
      <c r="O244" s="117" t="e">
        <f t="shared" si="27"/>
        <v>#REF!</v>
      </c>
      <c r="P244" s="111" t="e">
        <f t="shared" si="18"/>
        <v>#REF!</v>
      </c>
      <c r="Q244" s="112" t="e">
        <f t="shared" si="19"/>
        <v>#REF!</v>
      </c>
      <c r="R244" s="113" t="e">
        <f>#REF!</f>
        <v>#REF!</v>
      </c>
    </row>
    <row r="245" spans="1:18" s="105" customFormat="1" ht="15" customHeight="1">
      <c r="A245" s="101"/>
      <c r="B245" s="107" t="s">
        <v>636</v>
      </c>
      <c r="C245" s="280" t="s">
        <v>462</v>
      </c>
      <c r="D245" s="281"/>
      <c r="E245" s="281"/>
      <c r="F245" s="281"/>
      <c r="G245" s="281"/>
      <c r="H245" s="281"/>
      <c r="I245" s="281"/>
      <c r="J245" s="281"/>
      <c r="K245" s="282"/>
      <c r="L245" s="108">
        <f>5.23</f>
        <v>5.23</v>
      </c>
      <c r="M245" s="109" t="s">
        <v>78</v>
      </c>
      <c r="N245" s="40">
        <v>18.65</v>
      </c>
      <c r="O245" s="117" t="e">
        <f>(1+$Q$3)</f>
        <v>#REF!</v>
      </c>
      <c r="P245" s="111" t="e">
        <f t="shared" si="18"/>
        <v>#REF!</v>
      </c>
      <c r="Q245" s="112" t="e">
        <f t="shared" si="19"/>
        <v>#REF!</v>
      </c>
      <c r="R245" s="113" t="s">
        <v>464</v>
      </c>
    </row>
    <row r="246" spans="1:18" s="105" customFormat="1" ht="15" customHeight="1">
      <c r="A246" s="101"/>
      <c r="B246" s="107" t="s">
        <v>637</v>
      </c>
      <c r="C246" s="279" t="s">
        <v>277</v>
      </c>
      <c r="D246" s="278"/>
      <c r="E246" s="278"/>
      <c r="F246" s="278"/>
      <c r="G246" s="278"/>
      <c r="H246" s="278"/>
      <c r="I246" s="278"/>
      <c r="J246" s="278"/>
      <c r="K246" s="278"/>
      <c r="L246" s="108">
        <v>1</v>
      </c>
      <c r="M246" s="109" t="s">
        <v>111</v>
      </c>
      <c r="N246" s="40" t="e">
        <f>#REF!</f>
        <v>#REF!</v>
      </c>
      <c r="O246" s="117" t="e">
        <f t="shared" si="27"/>
        <v>#REF!</v>
      </c>
      <c r="P246" s="111" t="e">
        <f t="shared" si="18"/>
        <v>#REF!</v>
      </c>
      <c r="Q246" s="112" t="e">
        <f t="shared" si="19"/>
        <v>#REF!</v>
      </c>
      <c r="R246" s="113" t="e">
        <f>#REF!</f>
        <v>#REF!</v>
      </c>
    </row>
    <row r="247" spans="1:18" s="105" customFormat="1" ht="15" customHeight="1">
      <c r="A247" s="101"/>
      <c r="B247" s="107" t="s">
        <v>638</v>
      </c>
      <c r="C247" s="280" t="s">
        <v>462</v>
      </c>
      <c r="D247" s="281"/>
      <c r="E247" s="281"/>
      <c r="F247" s="281"/>
      <c r="G247" s="281"/>
      <c r="H247" s="281"/>
      <c r="I247" s="281"/>
      <c r="J247" s="281"/>
      <c r="K247" s="282"/>
      <c r="L247" s="108">
        <v>4.74</v>
      </c>
      <c r="M247" s="109" t="s">
        <v>78</v>
      </c>
      <c r="N247" s="40">
        <v>18.65</v>
      </c>
      <c r="O247" s="117" t="e">
        <f>(1+$Q$3)</f>
        <v>#REF!</v>
      </c>
      <c r="P247" s="111" t="e">
        <f t="shared" si="18"/>
        <v>#REF!</v>
      </c>
      <c r="Q247" s="112" t="e">
        <f t="shared" si="19"/>
        <v>#REF!</v>
      </c>
      <c r="R247" s="113" t="s">
        <v>464</v>
      </c>
    </row>
    <row r="248" spans="1:18" s="105" customFormat="1" ht="15" customHeight="1">
      <c r="A248" s="101"/>
      <c r="B248" s="107" t="s">
        <v>639</v>
      </c>
      <c r="C248" s="279" t="s">
        <v>278</v>
      </c>
      <c r="D248" s="278"/>
      <c r="E248" s="278"/>
      <c r="F248" s="278"/>
      <c r="G248" s="278"/>
      <c r="H248" s="278"/>
      <c r="I248" s="278"/>
      <c r="J248" s="278"/>
      <c r="K248" s="278"/>
      <c r="L248" s="108">
        <v>1</v>
      </c>
      <c r="M248" s="109" t="s">
        <v>111</v>
      </c>
      <c r="N248" s="40" t="e">
        <f>#REF!</f>
        <v>#REF!</v>
      </c>
      <c r="O248" s="117" t="e">
        <f t="shared" si="27"/>
        <v>#REF!</v>
      </c>
      <c r="P248" s="111" t="e">
        <f t="shared" si="18"/>
        <v>#REF!</v>
      </c>
      <c r="Q248" s="112" t="e">
        <f t="shared" si="19"/>
        <v>#REF!</v>
      </c>
      <c r="R248" s="113" t="e">
        <f>#REF!</f>
        <v>#REF!</v>
      </c>
    </row>
    <row r="249" spans="1:18" s="105" customFormat="1" ht="15" customHeight="1">
      <c r="A249" s="101"/>
      <c r="B249" s="107" t="s">
        <v>640</v>
      </c>
      <c r="C249" s="280" t="s">
        <v>462</v>
      </c>
      <c r="D249" s="281"/>
      <c r="E249" s="281"/>
      <c r="F249" s="281"/>
      <c r="G249" s="281"/>
      <c r="H249" s="281"/>
      <c r="I249" s="281"/>
      <c r="J249" s="281"/>
      <c r="K249" s="282"/>
      <c r="L249" s="108">
        <v>5.63</v>
      </c>
      <c r="M249" s="109" t="s">
        <v>78</v>
      </c>
      <c r="N249" s="40">
        <v>18.65</v>
      </c>
      <c r="O249" s="117" t="e">
        <f>(1+$Q$3)</f>
        <v>#REF!</v>
      </c>
      <c r="P249" s="111" t="e">
        <f t="shared" si="18"/>
        <v>#REF!</v>
      </c>
      <c r="Q249" s="112" t="e">
        <f t="shared" si="19"/>
        <v>#REF!</v>
      </c>
      <c r="R249" s="113" t="s">
        <v>464</v>
      </c>
    </row>
    <row r="250" spans="1:18" s="105" customFormat="1" ht="15" customHeight="1">
      <c r="A250" s="101"/>
      <c r="B250" s="107" t="s">
        <v>641</v>
      </c>
      <c r="C250" s="279" t="s">
        <v>279</v>
      </c>
      <c r="D250" s="278"/>
      <c r="E250" s="278"/>
      <c r="F250" s="278"/>
      <c r="G250" s="278"/>
      <c r="H250" s="278"/>
      <c r="I250" s="278"/>
      <c r="J250" s="278"/>
      <c r="K250" s="278"/>
      <c r="L250" s="108">
        <v>2</v>
      </c>
      <c r="M250" s="109" t="s">
        <v>111</v>
      </c>
      <c r="N250" s="40" t="e">
        <f>#REF!</f>
        <v>#REF!</v>
      </c>
      <c r="O250" s="117" t="e">
        <f t="shared" si="27"/>
        <v>#REF!</v>
      </c>
      <c r="P250" s="111" t="e">
        <f t="shared" si="18"/>
        <v>#REF!</v>
      </c>
      <c r="Q250" s="112" t="e">
        <f t="shared" si="19"/>
        <v>#REF!</v>
      </c>
      <c r="R250" s="113" t="e">
        <f>#REF!</f>
        <v>#REF!</v>
      </c>
    </row>
    <row r="251" spans="1:18" s="105" customFormat="1" ht="15" customHeight="1">
      <c r="A251" s="101"/>
      <c r="B251" s="107" t="s">
        <v>642</v>
      </c>
      <c r="C251" s="285" t="s">
        <v>462</v>
      </c>
      <c r="D251" s="281"/>
      <c r="E251" s="281"/>
      <c r="F251" s="281"/>
      <c r="G251" s="281"/>
      <c r="H251" s="281"/>
      <c r="I251" s="281"/>
      <c r="J251" s="281"/>
      <c r="K251" s="282"/>
      <c r="L251" s="108">
        <f>2*3.18</f>
        <v>6.36</v>
      </c>
      <c r="M251" s="109" t="s">
        <v>78</v>
      </c>
      <c r="N251" s="40">
        <v>18.65</v>
      </c>
      <c r="O251" s="117" t="e">
        <f>(1+$Q$3)</f>
        <v>#REF!</v>
      </c>
      <c r="P251" s="111" t="e">
        <f t="shared" si="18"/>
        <v>#REF!</v>
      </c>
      <c r="Q251" s="112" t="e">
        <f t="shared" si="19"/>
        <v>#REF!</v>
      </c>
      <c r="R251" s="113" t="s">
        <v>464</v>
      </c>
    </row>
    <row r="252" spans="1:18" s="105" customFormat="1" ht="15" customHeight="1">
      <c r="A252" s="101"/>
      <c r="B252" s="107" t="s">
        <v>643</v>
      </c>
      <c r="C252" s="279" t="s">
        <v>280</v>
      </c>
      <c r="D252" s="278"/>
      <c r="E252" s="278"/>
      <c r="F252" s="278"/>
      <c r="G252" s="278"/>
      <c r="H252" s="278"/>
      <c r="I252" s="278"/>
      <c r="J252" s="278"/>
      <c r="K252" s="278"/>
      <c r="L252" s="108">
        <v>1</v>
      </c>
      <c r="M252" s="109" t="s">
        <v>111</v>
      </c>
      <c r="N252" s="40" t="e">
        <f>#REF!</f>
        <v>#REF!</v>
      </c>
      <c r="O252" s="117" t="e">
        <f t="shared" si="27"/>
        <v>#REF!</v>
      </c>
      <c r="P252" s="111" t="e">
        <f t="shared" si="18"/>
        <v>#REF!</v>
      </c>
      <c r="Q252" s="112" t="e">
        <f t="shared" si="19"/>
        <v>#REF!</v>
      </c>
      <c r="R252" s="113" t="e">
        <f>#REF!</f>
        <v>#REF!</v>
      </c>
    </row>
    <row r="253" spans="1:18" s="105" customFormat="1" ht="15" customHeight="1">
      <c r="A253" s="101"/>
      <c r="B253" s="107" t="s">
        <v>644</v>
      </c>
      <c r="C253" s="280" t="s">
        <v>462</v>
      </c>
      <c r="D253" s="281"/>
      <c r="E253" s="281"/>
      <c r="F253" s="281"/>
      <c r="G253" s="281"/>
      <c r="H253" s="281"/>
      <c r="I253" s="281"/>
      <c r="J253" s="281"/>
      <c r="K253" s="282"/>
      <c r="L253" s="108">
        <v>5.4</v>
      </c>
      <c r="M253" s="109" t="s">
        <v>78</v>
      </c>
      <c r="N253" s="40">
        <v>18.65</v>
      </c>
      <c r="O253" s="117" t="e">
        <f>(1+$Q$3)</f>
        <v>#REF!</v>
      </c>
      <c r="P253" s="111" t="e">
        <f t="shared" si="18"/>
        <v>#REF!</v>
      </c>
      <c r="Q253" s="112" t="e">
        <f t="shared" si="19"/>
        <v>#REF!</v>
      </c>
      <c r="R253" s="113" t="s">
        <v>464</v>
      </c>
    </row>
    <row r="254" spans="1:18" s="105" customFormat="1" ht="15" customHeight="1">
      <c r="A254" s="101"/>
      <c r="B254" s="107" t="s">
        <v>645</v>
      </c>
      <c r="C254" s="279" t="s">
        <v>281</v>
      </c>
      <c r="D254" s="278"/>
      <c r="E254" s="278"/>
      <c r="F254" s="278"/>
      <c r="G254" s="278"/>
      <c r="H254" s="278"/>
      <c r="I254" s="278"/>
      <c r="J254" s="278"/>
      <c r="K254" s="278"/>
      <c r="L254" s="108">
        <v>1</v>
      </c>
      <c r="M254" s="109" t="s">
        <v>111</v>
      </c>
      <c r="N254" s="40" t="e">
        <f>#REF!</f>
        <v>#REF!</v>
      </c>
      <c r="O254" s="117" t="e">
        <f t="shared" si="27"/>
        <v>#REF!</v>
      </c>
      <c r="P254" s="111" t="e">
        <f t="shared" si="18"/>
        <v>#REF!</v>
      </c>
      <c r="Q254" s="112" t="e">
        <f t="shared" si="19"/>
        <v>#REF!</v>
      </c>
      <c r="R254" s="113" t="e">
        <f>#REF!</f>
        <v>#REF!</v>
      </c>
    </row>
    <row r="255" spans="1:18" s="105" customFormat="1" ht="15" customHeight="1">
      <c r="A255" s="101"/>
      <c r="B255" s="107" t="s">
        <v>646</v>
      </c>
      <c r="C255" s="280" t="s">
        <v>462</v>
      </c>
      <c r="D255" s="281"/>
      <c r="E255" s="281"/>
      <c r="F255" s="281"/>
      <c r="G255" s="281"/>
      <c r="H255" s="281"/>
      <c r="I255" s="281"/>
      <c r="J255" s="281"/>
      <c r="K255" s="282"/>
      <c r="L255" s="108">
        <v>5.11</v>
      </c>
      <c r="M255" s="109" t="s">
        <v>78</v>
      </c>
      <c r="N255" s="40">
        <v>18.65</v>
      </c>
      <c r="O255" s="117" t="e">
        <f>(1+$Q$3)</f>
        <v>#REF!</v>
      </c>
      <c r="P255" s="111" t="e">
        <f t="shared" si="18"/>
        <v>#REF!</v>
      </c>
      <c r="Q255" s="112" t="e">
        <f t="shared" si="19"/>
        <v>#REF!</v>
      </c>
      <c r="R255" s="113" t="s">
        <v>464</v>
      </c>
    </row>
    <row r="256" spans="1:18" s="105" customFormat="1" ht="15" customHeight="1">
      <c r="A256" s="101"/>
      <c r="B256" s="107" t="s">
        <v>647</v>
      </c>
      <c r="C256" s="279" t="s">
        <v>282</v>
      </c>
      <c r="D256" s="278"/>
      <c r="E256" s="278"/>
      <c r="F256" s="278"/>
      <c r="G256" s="278"/>
      <c r="H256" s="278"/>
      <c r="I256" s="278"/>
      <c r="J256" s="278"/>
      <c r="K256" s="278"/>
      <c r="L256" s="108">
        <v>4</v>
      </c>
      <c r="M256" s="109" t="s">
        <v>111</v>
      </c>
      <c r="N256" s="40" t="e">
        <f>#REF!</f>
        <v>#REF!</v>
      </c>
      <c r="O256" s="117" t="e">
        <f t="shared" si="27"/>
        <v>#REF!</v>
      </c>
      <c r="P256" s="111" t="e">
        <f t="shared" si="18"/>
        <v>#REF!</v>
      </c>
      <c r="Q256" s="112" t="e">
        <f t="shared" si="19"/>
        <v>#REF!</v>
      </c>
      <c r="R256" s="113" t="e">
        <f>#REF!</f>
        <v>#REF!</v>
      </c>
    </row>
    <row r="257" spans="1:18" s="105" customFormat="1" ht="15" customHeight="1">
      <c r="A257" s="101"/>
      <c r="B257" s="107" t="s">
        <v>683</v>
      </c>
      <c r="C257" s="280" t="s">
        <v>462</v>
      </c>
      <c r="D257" s="281"/>
      <c r="E257" s="281"/>
      <c r="F257" s="281"/>
      <c r="G257" s="281"/>
      <c r="H257" s="281"/>
      <c r="I257" s="281"/>
      <c r="J257" s="281"/>
      <c r="K257" s="282"/>
      <c r="L257" s="108">
        <f>2*4</f>
        <v>8</v>
      </c>
      <c r="M257" s="109" t="s">
        <v>78</v>
      </c>
      <c r="N257" s="40">
        <v>18.65</v>
      </c>
      <c r="O257" s="117" t="e">
        <f>(1+$Q$3)</f>
        <v>#REF!</v>
      </c>
      <c r="P257" s="111" t="e">
        <f t="shared" si="18"/>
        <v>#REF!</v>
      </c>
      <c r="Q257" s="112" t="e">
        <f t="shared" si="19"/>
        <v>#REF!</v>
      </c>
      <c r="R257" s="113" t="s">
        <v>464</v>
      </c>
    </row>
    <row r="258" spans="1:18" s="105" customFormat="1" ht="15" customHeight="1">
      <c r="A258" s="101"/>
      <c r="B258" s="107" t="s">
        <v>748</v>
      </c>
      <c r="C258" s="279" t="s">
        <v>283</v>
      </c>
      <c r="D258" s="278"/>
      <c r="E258" s="278"/>
      <c r="F258" s="278"/>
      <c r="G258" s="278"/>
      <c r="H258" s="278"/>
      <c r="I258" s="278"/>
      <c r="J258" s="278"/>
      <c r="K258" s="278"/>
      <c r="L258" s="108">
        <v>1</v>
      </c>
      <c r="M258" s="109" t="s">
        <v>111</v>
      </c>
      <c r="N258" s="40" t="e">
        <f>#REF!</f>
        <v>#REF!</v>
      </c>
      <c r="O258" s="117" t="e">
        <f t="shared" si="27"/>
        <v>#REF!</v>
      </c>
      <c r="P258" s="111" t="e">
        <f t="shared" si="18"/>
        <v>#REF!</v>
      </c>
      <c r="Q258" s="112" t="e">
        <f t="shared" si="19"/>
        <v>#REF!</v>
      </c>
      <c r="R258" s="113" t="e">
        <f>#REF!</f>
        <v>#REF!</v>
      </c>
    </row>
    <row r="259" spans="1:18" s="105" customFormat="1" ht="15" customHeight="1">
      <c r="A259" s="101"/>
      <c r="B259" s="107" t="s">
        <v>750</v>
      </c>
      <c r="C259" s="280" t="s">
        <v>462</v>
      </c>
      <c r="D259" s="281"/>
      <c r="E259" s="281"/>
      <c r="F259" s="281"/>
      <c r="G259" s="281"/>
      <c r="H259" s="281"/>
      <c r="I259" s="281"/>
      <c r="J259" s="281"/>
      <c r="K259" s="282"/>
      <c r="L259" s="108">
        <v>5.79</v>
      </c>
      <c r="M259" s="109" t="s">
        <v>78</v>
      </c>
      <c r="N259" s="40">
        <v>18.65</v>
      </c>
      <c r="O259" s="117" t="e">
        <f>(1+$Q$3)</f>
        <v>#REF!</v>
      </c>
      <c r="P259" s="111" t="e">
        <f t="shared" si="18"/>
        <v>#REF!</v>
      </c>
      <c r="Q259" s="112" t="e">
        <f t="shared" si="19"/>
        <v>#REF!</v>
      </c>
      <c r="R259" s="113" t="s">
        <v>464</v>
      </c>
    </row>
    <row r="260" spans="1:18" s="105" customFormat="1" ht="15" customHeight="1">
      <c r="A260" s="101"/>
      <c r="B260" s="107" t="s">
        <v>751</v>
      </c>
      <c r="C260" s="279" t="s">
        <v>284</v>
      </c>
      <c r="D260" s="278"/>
      <c r="E260" s="278"/>
      <c r="F260" s="278"/>
      <c r="G260" s="278"/>
      <c r="H260" s="278"/>
      <c r="I260" s="278"/>
      <c r="J260" s="278"/>
      <c r="K260" s="278"/>
      <c r="L260" s="108">
        <v>2</v>
      </c>
      <c r="M260" s="109" t="s">
        <v>111</v>
      </c>
      <c r="N260" s="40" t="e">
        <f>#REF!</f>
        <v>#REF!</v>
      </c>
      <c r="O260" s="117" t="e">
        <f t="shared" si="27"/>
        <v>#REF!</v>
      </c>
      <c r="P260" s="111" t="e">
        <f t="shared" si="18"/>
        <v>#REF!</v>
      </c>
      <c r="Q260" s="112" t="e">
        <f t="shared" si="19"/>
        <v>#REF!</v>
      </c>
      <c r="R260" s="113" t="e">
        <f>#REF!</f>
        <v>#REF!</v>
      </c>
    </row>
    <row r="261" spans="1:18" s="105" customFormat="1" ht="15" customHeight="1">
      <c r="A261" s="101"/>
      <c r="B261" s="107" t="s">
        <v>753</v>
      </c>
      <c r="C261" s="280" t="s">
        <v>462</v>
      </c>
      <c r="D261" s="281"/>
      <c r="E261" s="281"/>
      <c r="F261" s="281"/>
      <c r="G261" s="281"/>
      <c r="H261" s="281"/>
      <c r="I261" s="281"/>
      <c r="J261" s="281"/>
      <c r="K261" s="282"/>
      <c r="L261" s="108">
        <f>4.01*2</f>
        <v>8.02</v>
      </c>
      <c r="M261" s="109" t="s">
        <v>78</v>
      </c>
      <c r="N261" s="40">
        <v>18.65</v>
      </c>
      <c r="O261" s="117" t="e">
        <f>(1+$Q$3)</f>
        <v>#REF!</v>
      </c>
      <c r="P261" s="111" t="e">
        <f t="shared" si="18"/>
        <v>#REF!</v>
      </c>
      <c r="Q261" s="112" t="e">
        <f t="shared" si="19"/>
        <v>#REF!</v>
      </c>
      <c r="R261" s="113" t="s">
        <v>464</v>
      </c>
    </row>
    <row r="262" spans="1:18" s="105" customFormat="1" ht="15" customHeight="1">
      <c r="A262" s="101"/>
      <c r="B262" s="107" t="s">
        <v>754</v>
      </c>
      <c r="C262" s="279" t="s">
        <v>285</v>
      </c>
      <c r="D262" s="278"/>
      <c r="E262" s="278"/>
      <c r="F262" s="278"/>
      <c r="G262" s="278"/>
      <c r="H262" s="278"/>
      <c r="I262" s="278"/>
      <c r="J262" s="278"/>
      <c r="K262" s="278"/>
      <c r="L262" s="108">
        <v>1</v>
      </c>
      <c r="M262" s="109" t="s">
        <v>111</v>
      </c>
      <c r="N262" s="40" t="e">
        <f>#REF!</f>
        <v>#REF!</v>
      </c>
      <c r="O262" s="117" t="e">
        <f t="shared" si="27"/>
        <v>#REF!</v>
      </c>
      <c r="P262" s="111" t="e">
        <f t="shared" si="18"/>
        <v>#REF!</v>
      </c>
      <c r="Q262" s="112" t="e">
        <f t="shared" si="19"/>
        <v>#REF!</v>
      </c>
      <c r="R262" s="113" t="e">
        <f>#REF!</f>
        <v>#REF!</v>
      </c>
    </row>
    <row r="263" spans="1:18" s="105" customFormat="1" ht="15" customHeight="1">
      <c r="A263" s="101"/>
      <c r="B263" s="107" t="s">
        <v>756</v>
      </c>
      <c r="C263" s="280" t="s">
        <v>462</v>
      </c>
      <c r="D263" s="281"/>
      <c r="E263" s="281"/>
      <c r="F263" s="281"/>
      <c r="G263" s="281"/>
      <c r="H263" s="281"/>
      <c r="I263" s="281"/>
      <c r="J263" s="281"/>
      <c r="K263" s="282"/>
      <c r="L263" s="108">
        <v>5.8</v>
      </c>
      <c r="M263" s="109" t="s">
        <v>78</v>
      </c>
      <c r="N263" s="40">
        <v>18.65</v>
      </c>
      <c r="O263" s="117" t="e">
        <f>(1+$Q$3)</f>
        <v>#REF!</v>
      </c>
      <c r="P263" s="111" t="e">
        <f t="shared" si="18"/>
        <v>#REF!</v>
      </c>
      <c r="Q263" s="112" t="e">
        <f t="shared" si="19"/>
        <v>#REF!</v>
      </c>
      <c r="R263" s="113" t="s">
        <v>464</v>
      </c>
    </row>
    <row r="264" spans="1:18" s="105" customFormat="1" ht="15" customHeight="1">
      <c r="A264" s="101"/>
      <c r="B264" s="107" t="s">
        <v>757</v>
      </c>
      <c r="C264" s="279" t="s">
        <v>286</v>
      </c>
      <c r="D264" s="278"/>
      <c r="E264" s="278"/>
      <c r="F264" s="278"/>
      <c r="G264" s="278"/>
      <c r="H264" s="278"/>
      <c r="I264" s="278"/>
      <c r="J264" s="278"/>
      <c r="K264" s="278"/>
      <c r="L264" s="108">
        <v>1</v>
      </c>
      <c r="M264" s="109" t="s">
        <v>111</v>
      </c>
      <c r="N264" s="40" t="e">
        <f>#REF!</f>
        <v>#REF!</v>
      </c>
      <c r="O264" s="117" t="e">
        <f t="shared" si="27"/>
        <v>#REF!</v>
      </c>
      <c r="P264" s="111" t="e">
        <f t="shared" si="18"/>
        <v>#REF!</v>
      </c>
      <c r="Q264" s="112" t="e">
        <f t="shared" si="19"/>
        <v>#REF!</v>
      </c>
      <c r="R264" s="113" t="e">
        <f>#REF!</f>
        <v>#REF!</v>
      </c>
    </row>
    <row r="265" spans="1:18" s="105" customFormat="1" ht="15" customHeight="1">
      <c r="A265" s="101"/>
      <c r="B265" s="107" t="s">
        <v>759</v>
      </c>
      <c r="C265" s="280" t="s">
        <v>462</v>
      </c>
      <c r="D265" s="281"/>
      <c r="E265" s="281"/>
      <c r="F265" s="281"/>
      <c r="G265" s="281"/>
      <c r="H265" s="281"/>
      <c r="I265" s="281"/>
      <c r="J265" s="281"/>
      <c r="K265" s="282"/>
      <c r="L265" s="108">
        <v>4.01</v>
      </c>
      <c r="M265" s="109" t="s">
        <v>78</v>
      </c>
      <c r="N265" s="40">
        <v>18.65</v>
      </c>
      <c r="O265" s="117" t="e">
        <f>(1+$Q$3)</f>
        <v>#REF!</v>
      </c>
      <c r="P265" s="111" t="e">
        <f t="shared" si="18"/>
        <v>#REF!</v>
      </c>
      <c r="Q265" s="112" t="e">
        <f t="shared" si="19"/>
        <v>#REF!</v>
      </c>
      <c r="R265" s="113" t="s">
        <v>464</v>
      </c>
    </row>
    <row r="266" spans="1:18" s="105" customFormat="1" ht="15" customHeight="1">
      <c r="A266" s="101"/>
      <c r="B266" s="107" t="s">
        <v>760</v>
      </c>
      <c r="C266" s="279" t="s">
        <v>287</v>
      </c>
      <c r="D266" s="278"/>
      <c r="E266" s="278"/>
      <c r="F266" s="278"/>
      <c r="G266" s="278"/>
      <c r="H266" s="278"/>
      <c r="I266" s="278"/>
      <c r="J266" s="278"/>
      <c r="K266" s="278"/>
      <c r="L266" s="108">
        <v>1</v>
      </c>
      <c r="M266" s="109" t="s">
        <v>111</v>
      </c>
      <c r="N266" s="40" t="e">
        <f>#REF!</f>
        <v>#REF!</v>
      </c>
      <c r="O266" s="117" t="e">
        <f t="shared" si="27"/>
        <v>#REF!</v>
      </c>
      <c r="P266" s="111" t="e">
        <f t="shared" si="18"/>
        <v>#REF!</v>
      </c>
      <c r="Q266" s="112" t="e">
        <f t="shared" si="19"/>
        <v>#REF!</v>
      </c>
      <c r="R266" s="113" t="e">
        <f>#REF!</f>
        <v>#REF!</v>
      </c>
    </row>
    <row r="267" spans="1:18" s="105" customFormat="1" ht="15" customHeight="1">
      <c r="A267" s="101"/>
      <c r="B267" s="107" t="s">
        <v>830</v>
      </c>
      <c r="C267" s="280" t="s">
        <v>462</v>
      </c>
      <c r="D267" s="281"/>
      <c r="E267" s="281"/>
      <c r="F267" s="281"/>
      <c r="G267" s="281"/>
      <c r="H267" s="281"/>
      <c r="I267" s="281"/>
      <c r="J267" s="281"/>
      <c r="K267" s="282"/>
      <c r="L267" s="108">
        <v>5.78</v>
      </c>
      <c r="M267" s="109" t="s">
        <v>78</v>
      </c>
      <c r="N267" s="40">
        <v>18.65</v>
      </c>
      <c r="O267" s="117" t="e">
        <f>(1+$Q$3)</f>
        <v>#REF!</v>
      </c>
      <c r="P267" s="111" t="e">
        <f t="shared" si="18"/>
        <v>#REF!</v>
      </c>
      <c r="Q267" s="112" t="e">
        <f t="shared" si="19"/>
        <v>#REF!</v>
      </c>
      <c r="R267" s="113" t="s">
        <v>464</v>
      </c>
    </row>
    <row r="268" spans="1:18" s="105" customFormat="1" ht="15" customHeight="1">
      <c r="A268" s="101"/>
      <c r="B268" s="107" t="s">
        <v>831</v>
      </c>
      <c r="C268" s="279" t="s">
        <v>288</v>
      </c>
      <c r="D268" s="278"/>
      <c r="E268" s="278"/>
      <c r="F268" s="278"/>
      <c r="G268" s="278"/>
      <c r="H268" s="278"/>
      <c r="I268" s="278"/>
      <c r="J268" s="278"/>
      <c r="K268" s="278"/>
      <c r="L268" s="108">
        <v>1</v>
      </c>
      <c r="M268" s="109" t="s">
        <v>111</v>
      </c>
      <c r="N268" s="40" t="e">
        <f>#REF!</f>
        <v>#REF!</v>
      </c>
      <c r="O268" s="117" t="e">
        <f t="shared" si="27"/>
        <v>#REF!</v>
      </c>
      <c r="P268" s="111" t="e">
        <f t="shared" si="18"/>
        <v>#REF!</v>
      </c>
      <c r="Q268" s="112" t="e">
        <f t="shared" si="19"/>
        <v>#REF!</v>
      </c>
      <c r="R268" s="113" t="e">
        <f>#REF!</f>
        <v>#REF!</v>
      </c>
    </row>
    <row r="269" spans="1:18" s="105" customFormat="1" ht="15" customHeight="1">
      <c r="A269" s="101"/>
      <c r="B269" s="107" t="s">
        <v>834</v>
      </c>
      <c r="C269" s="280" t="s">
        <v>462</v>
      </c>
      <c r="D269" s="281"/>
      <c r="E269" s="281"/>
      <c r="F269" s="281"/>
      <c r="G269" s="281"/>
      <c r="H269" s="281"/>
      <c r="I269" s="281"/>
      <c r="J269" s="281"/>
      <c r="K269" s="282"/>
      <c r="L269" s="108">
        <v>2.49</v>
      </c>
      <c r="M269" s="109" t="s">
        <v>78</v>
      </c>
      <c r="N269" s="40">
        <v>18.65</v>
      </c>
      <c r="O269" s="117" t="e">
        <f>(1+$Q$3)</f>
        <v>#REF!</v>
      </c>
      <c r="P269" s="111" t="e">
        <f t="shared" si="18"/>
        <v>#REF!</v>
      </c>
      <c r="Q269" s="112" t="e">
        <f t="shared" si="19"/>
        <v>#REF!</v>
      </c>
      <c r="R269" s="113" t="s">
        <v>464</v>
      </c>
    </row>
    <row r="270" spans="1:18" s="105" customFormat="1" ht="15" customHeight="1">
      <c r="A270" s="101"/>
      <c r="B270" s="107" t="s">
        <v>835</v>
      </c>
      <c r="C270" s="279" t="s">
        <v>289</v>
      </c>
      <c r="D270" s="278"/>
      <c r="E270" s="278"/>
      <c r="F270" s="278"/>
      <c r="G270" s="278"/>
      <c r="H270" s="278"/>
      <c r="I270" s="278"/>
      <c r="J270" s="278"/>
      <c r="K270" s="278"/>
      <c r="L270" s="108">
        <v>3</v>
      </c>
      <c r="M270" s="109" t="s">
        <v>111</v>
      </c>
      <c r="N270" s="40" t="e">
        <f>#REF!</f>
        <v>#REF!</v>
      </c>
      <c r="O270" s="117" t="e">
        <f t="shared" si="27"/>
        <v>#REF!</v>
      </c>
      <c r="P270" s="111" t="e">
        <f t="shared" si="18"/>
        <v>#REF!</v>
      </c>
      <c r="Q270" s="112" t="e">
        <f t="shared" si="19"/>
        <v>#REF!</v>
      </c>
      <c r="R270" s="113" t="e">
        <f>#REF!</f>
        <v>#REF!</v>
      </c>
    </row>
    <row r="271" spans="1:18" s="105" customFormat="1" ht="15" customHeight="1">
      <c r="A271" s="101"/>
      <c r="B271" s="107" t="s">
        <v>836</v>
      </c>
      <c r="C271" s="280" t="s">
        <v>462</v>
      </c>
      <c r="D271" s="281"/>
      <c r="E271" s="281"/>
      <c r="F271" s="281"/>
      <c r="G271" s="281"/>
      <c r="H271" s="281"/>
      <c r="I271" s="281"/>
      <c r="J271" s="281"/>
      <c r="K271" s="282"/>
      <c r="L271" s="108">
        <f>4*3</f>
        <v>12</v>
      </c>
      <c r="M271" s="109" t="s">
        <v>78</v>
      </c>
      <c r="N271" s="40">
        <v>18.65</v>
      </c>
      <c r="O271" s="117" t="e">
        <f>(1+$Q$3)</f>
        <v>#REF!</v>
      </c>
      <c r="P271" s="111" t="e">
        <f t="shared" si="18"/>
        <v>#REF!</v>
      </c>
      <c r="Q271" s="112" t="e">
        <f t="shared" si="19"/>
        <v>#REF!</v>
      </c>
      <c r="R271" s="113" t="s">
        <v>464</v>
      </c>
    </row>
    <row r="272" spans="1:18" s="105" customFormat="1" ht="15" customHeight="1">
      <c r="A272" s="101"/>
      <c r="B272" s="107" t="s">
        <v>837</v>
      </c>
      <c r="C272" s="279" t="s">
        <v>290</v>
      </c>
      <c r="D272" s="278"/>
      <c r="E272" s="278"/>
      <c r="F272" s="278"/>
      <c r="G272" s="278"/>
      <c r="H272" s="278"/>
      <c r="I272" s="278"/>
      <c r="J272" s="278"/>
      <c r="K272" s="278"/>
      <c r="L272" s="108">
        <v>5250</v>
      </c>
      <c r="M272" s="109" t="s">
        <v>78</v>
      </c>
      <c r="N272" s="40" t="e">
        <f>#REF!</f>
        <v>#REF!</v>
      </c>
      <c r="O272" s="117" t="e">
        <f t="shared" si="27"/>
        <v>#REF!</v>
      </c>
      <c r="P272" s="111" t="e">
        <f aca="true" t="shared" si="33" ref="P272:P303">ROUND(N272*O272,2)</f>
        <v>#REF!</v>
      </c>
      <c r="Q272" s="112" t="e">
        <f aca="true" t="shared" si="34" ref="Q272:Q303">ROUND(L272*P272,2)</f>
        <v>#REF!</v>
      </c>
      <c r="R272" s="113" t="e">
        <f>#REF!</f>
        <v>#REF!</v>
      </c>
    </row>
    <row r="273" spans="1:18" s="105" customFormat="1" ht="15" customHeight="1">
      <c r="A273" s="101"/>
      <c r="B273" s="107" t="s">
        <v>838</v>
      </c>
      <c r="C273" s="280" t="s">
        <v>462</v>
      </c>
      <c r="D273" s="281"/>
      <c r="E273" s="281"/>
      <c r="F273" s="281"/>
      <c r="G273" s="281"/>
      <c r="H273" s="281"/>
      <c r="I273" s="281"/>
      <c r="J273" s="281"/>
      <c r="K273" s="282"/>
      <c r="L273" s="108">
        <f>5250</f>
        <v>5250</v>
      </c>
      <c r="M273" s="109" t="s">
        <v>78</v>
      </c>
      <c r="N273" s="40">
        <v>18.65</v>
      </c>
      <c r="O273" s="117" t="e">
        <f>(1+$Q$3)</f>
        <v>#REF!</v>
      </c>
      <c r="P273" s="111" t="e">
        <f t="shared" si="33"/>
        <v>#REF!</v>
      </c>
      <c r="Q273" s="112" t="e">
        <f t="shared" si="34"/>
        <v>#REF!</v>
      </c>
      <c r="R273" s="113" t="s">
        <v>464</v>
      </c>
    </row>
    <row r="274" spans="1:18" s="105" customFormat="1" ht="15" customHeight="1">
      <c r="A274" s="101"/>
      <c r="B274" s="107" t="s">
        <v>839</v>
      </c>
      <c r="C274" s="279" t="s">
        <v>291</v>
      </c>
      <c r="D274" s="278"/>
      <c r="E274" s="278"/>
      <c r="F274" s="278"/>
      <c r="G274" s="278"/>
      <c r="H274" s="278"/>
      <c r="I274" s="278"/>
      <c r="J274" s="278"/>
      <c r="K274" s="278"/>
      <c r="L274" s="108">
        <v>2</v>
      </c>
      <c r="M274" s="109" t="s">
        <v>111</v>
      </c>
      <c r="N274" s="40" t="e">
        <f>#REF!</f>
        <v>#REF!</v>
      </c>
      <c r="O274" s="117" t="e">
        <f t="shared" si="27"/>
        <v>#REF!</v>
      </c>
      <c r="P274" s="111" t="e">
        <f t="shared" si="33"/>
        <v>#REF!</v>
      </c>
      <c r="Q274" s="112" t="e">
        <f t="shared" si="34"/>
        <v>#REF!</v>
      </c>
      <c r="R274" s="113" t="e">
        <f>#REF!</f>
        <v>#REF!</v>
      </c>
    </row>
    <row r="275" spans="1:18" s="105" customFormat="1" ht="15" customHeight="1">
      <c r="A275" s="101"/>
      <c r="B275" s="107" t="s">
        <v>840</v>
      </c>
      <c r="C275" s="280" t="s">
        <v>462</v>
      </c>
      <c r="D275" s="281"/>
      <c r="E275" s="281"/>
      <c r="F275" s="281"/>
      <c r="G275" s="281"/>
      <c r="H275" s="281"/>
      <c r="I275" s="281"/>
      <c r="J275" s="281"/>
      <c r="K275" s="282"/>
      <c r="L275" s="108">
        <f>2.3*2</f>
        <v>4.6</v>
      </c>
      <c r="M275" s="109" t="s">
        <v>78</v>
      </c>
      <c r="N275" s="40">
        <v>23.49</v>
      </c>
      <c r="O275" s="117" t="e">
        <f aca="true" t="shared" si="35" ref="O275:O295">(1+$Q$3)</f>
        <v>#REF!</v>
      </c>
      <c r="P275" s="111" t="e">
        <f t="shared" si="33"/>
        <v>#REF!</v>
      </c>
      <c r="Q275" s="112" t="e">
        <f t="shared" si="34"/>
        <v>#REF!</v>
      </c>
      <c r="R275" s="113" t="s">
        <v>465</v>
      </c>
    </row>
    <row r="276" spans="1:18" s="105" customFormat="1" ht="15" customHeight="1">
      <c r="A276" s="101"/>
      <c r="B276" s="107" t="s">
        <v>841</v>
      </c>
      <c r="C276" s="279" t="s">
        <v>292</v>
      </c>
      <c r="D276" s="278"/>
      <c r="E276" s="278"/>
      <c r="F276" s="278"/>
      <c r="G276" s="278"/>
      <c r="H276" s="278"/>
      <c r="I276" s="278"/>
      <c r="J276" s="278"/>
      <c r="K276" s="278"/>
      <c r="L276" s="108">
        <v>22</v>
      </c>
      <c r="M276" s="109" t="s">
        <v>78</v>
      </c>
      <c r="N276" s="40" t="e">
        <f>#REF!</f>
        <v>#REF!</v>
      </c>
      <c r="O276" s="117" t="e">
        <f t="shared" si="27"/>
        <v>#REF!</v>
      </c>
      <c r="P276" s="111" t="e">
        <f t="shared" si="33"/>
        <v>#REF!</v>
      </c>
      <c r="Q276" s="112" t="e">
        <f t="shared" si="34"/>
        <v>#REF!</v>
      </c>
      <c r="R276" s="113" t="e">
        <f>#REF!</f>
        <v>#REF!</v>
      </c>
    </row>
    <row r="277" spans="1:18" s="105" customFormat="1" ht="15" customHeight="1">
      <c r="A277" s="101"/>
      <c r="B277" s="107" t="s">
        <v>842</v>
      </c>
      <c r="C277" s="280" t="s">
        <v>462</v>
      </c>
      <c r="D277" s="281"/>
      <c r="E277" s="281"/>
      <c r="F277" s="281"/>
      <c r="G277" s="281"/>
      <c r="H277" s="281"/>
      <c r="I277" s="281"/>
      <c r="J277" s="281"/>
      <c r="K277" s="282"/>
      <c r="L277" s="108">
        <v>3715.99</v>
      </c>
      <c r="M277" s="109" t="s">
        <v>78</v>
      </c>
      <c r="N277" s="40">
        <v>23.49</v>
      </c>
      <c r="O277" s="117" t="e">
        <f t="shared" si="35"/>
        <v>#REF!</v>
      </c>
      <c r="P277" s="111" t="e">
        <f t="shared" si="33"/>
        <v>#REF!</v>
      </c>
      <c r="Q277" s="112" t="e">
        <f t="shared" si="34"/>
        <v>#REF!</v>
      </c>
      <c r="R277" s="113" t="s">
        <v>465</v>
      </c>
    </row>
    <row r="278" spans="1:18" s="105" customFormat="1" ht="15" customHeight="1">
      <c r="A278" s="101"/>
      <c r="B278" s="107" t="s">
        <v>843</v>
      </c>
      <c r="C278" s="279" t="s">
        <v>293</v>
      </c>
      <c r="D278" s="278"/>
      <c r="E278" s="278"/>
      <c r="F278" s="278"/>
      <c r="G278" s="278"/>
      <c r="H278" s="278"/>
      <c r="I278" s="278"/>
      <c r="J278" s="278"/>
      <c r="K278" s="278"/>
      <c r="L278" s="108">
        <v>1</v>
      </c>
      <c r="M278" s="109" t="s">
        <v>111</v>
      </c>
      <c r="N278" s="40" t="e">
        <f>#REF!</f>
        <v>#REF!</v>
      </c>
      <c r="O278" s="117" t="e">
        <f t="shared" si="27"/>
        <v>#REF!</v>
      </c>
      <c r="P278" s="111" t="e">
        <f t="shared" si="33"/>
        <v>#REF!</v>
      </c>
      <c r="Q278" s="112" t="e">
        <f t="shared" si="34"/>
        <v>#REF!</v>
      </c>
      <c r="R278" s="113" t="e">
        <f>#REF!</f>
        <v>#REF!</v>
      </c>
    </row>
    <row r="279" spans="1:18" s="105" customFormat="1" ht="15" customHeight="1">
      <c r="A279" s="101"/>
      <c r="B279" s="107" t="s">
        <v>844</v>
      </c>
      <c r="C279" s="280" t="s">
        <v>462</v>
      </c>
      <c r="D279" s="281"/>
      <c r="E279" s="281"/>
      <c r="F279" s="281"/>
      <c r="G279" s="281"/>
      <c r="H279" s="281"/>
      <c r="I279" s="281"/>
      <c r="J279" s="281"/>
      <c r="K279" s="282"/>
      <c r="L279" s="108">
        <v>176.95</v>
      </c>
      <c r="M279" s="109" t="s">
        <v>78</v>
      </c>
      <c r="N279" s="40">
        <v>23.49</v>
      </c>
      <c r="O279" s="117" t="e">
        <f t="shared" si="35"/>
        <v>#REF!</v>
      </c>
      <c r="P279" s="111" t="e">
        <f t="shared" si="33"/>
        <v>#REF!</v>
      </c>
      <c r="Q279" s="112" t="e">
        <f t="shared" si="34"/>
        <v>#REF!</v>
      </c>
      <c r="R279" s="113" t="s">
        <v>465</v>
      </c>
    </row>
    <row r="280" spans="1:18" s="105" customFormat="1" ht="15" customHeight="1">
      <c r="A280" s="101"/>
      <c r="B280" s="107" t="s">
        <v>845</v>
      </c>
      <c r="C280" s="279" t="s">
        <v>725</v>
      </c>
      <c r="D280" s="278"/>
      <c r="E280" s="278"/>
      <c r="F280" s="278"/>
      <c r="G280" s="278"/>
      <c r="H280" s="278"/>
      <c r="I280" s="278"/>
      <c r="J280" s="278"/>
      <c r="K280" s="278"/>
      <c r="L280" s="108">
        <v>1</v>
      </c>
      <c r="M280" s="109" t="s">
        <v>111</v>
      </c>
      <c r="N280" s="40" t="e">
        <f>#REF!</f>
        <v>#REF!</v>
      </c>
      <c r="O280" s="117" t="e">
        <f t="shared" si="27"/>
        <v>#REF!</v>
      </c>
      <c r="P280" s="111" t="e">
        <f t="shared" si="33"/>
        <v>#REF!</v>
      </c>
      <c r="Q280" s="112" t="e">
        <f t="shared" si="34"/>
        <v>#REF!</v>
      </c>
      <c r="R280" s="113" t="e">
        <f>#REF!</f>
        <v>#REF!</v>
      </c>
    </row>
    <row r="281" spans="1:18" s="105" customFormat="1" ht="15" customHeight="1">
      <c r="A281" s="101"/>
      <c r="B281" s="107" t="s">
        <v>846</v>
      </c>
      <c r="C281" s="280" t="s">
        <v>462</v>
      </c>
      <c r="D281" s="281"/>
      <c r="E281" s="281"/>
      <c r="F281" s="281"/>
      <c r="G281" s="281"/>
      <c r="H281" s="281"/>
      <c r="I281" s="281"/>
      <c r="J281" s="281"/>
      <c r="K281" s="282"/>
      <c r="L281" s="108">
        <v>4.339</v>
      </c>
      <c r="M281" s="109" t="s">
        <v>78</v>
      </c>
      <c r="N281" s="40">
        <v>23.49</v>
      </c>
      <c r="O281" s="117" t="e">
        <f t="shared" si="35"/>
        <v>#REF!</v>
      </c>
      <c r="P281" s="111" t="e">
        <f t="shared" si="33"/>
        <v>#REF!</v>
      </c>
      <c r="Q281" s="112" t="e">
        <f t="shared" si="34"/>
        <v>#REF!</v>
      </c>
      <c r="R281" s="113" t="s">
        <v>465</v>
      </c>
    </row>
    <row r="282" spans="1:18" s="105" customFormat="1" ht="15" customHeight="1">
      <c r="A282" s="101"/>
      <c r="B282" s="107" t="s">
        <v>847</v>
      </c>
      <c r="C282" s="279" t="s">
        <v>726</v>
      </c>
      <c r="D282" s="278"/>
      <c r="E282" s="278"/>
      <c r="F282" s="278"/>
      <c r="G282" s="278"/>
      <c r="H282" s="278"/>
      <c r="I282" s="278"/>
      <c r="J282" s="278"/>
      <c r="K282" s="278"/>
      <c r="L282" s="108">
        <v>3</v>
      </c>
      <c r="M282" s="109" t="s">
        <v>111</v>
      </c>
      <c r="N282" s="40" t="e">
        <f>#REF!</f>
        <v>#REF!</v>
      </c>
      <c r="O282" s="117" t="e">
        <f t="shared" si="27"/>
        <v>#REF!</v>
      </c>
      <c r="P282" s="111" t="e">
        <f t="shared" si="33"/>
        <v>#REF!</v>
      </c>
      <c r="Q282" s="112" t="e">
        <f t="shared" si="34"/>
        <v>#REF!</v>
      </c>
      <c r="R282" s="113" t="e">
        <f>#REF!</f>
        <v>#REF!</v>
      </c>
    </row>
    <row r="283" spans="1:18" s="105" customFormat="1" ht="15" customHeight="1">
      <c r="A283" s="101"/>
      <c r="B283" s="107" t="s">
        <v>848</v>
      </c>
      <c r="C283" s="280" t="s">
        <v>462</v>
      </c>
      <c r="D283" s="281"/>
      <c r="E283" s="281"/>
      <c r="F283" s="281"/>
      <c r="G283" s="281"/>
      <c r="H283" s="281"/>
      <c r="I283" s="281"/>
      <c r="J283" s="281"/>
      <c r="K283" s="282"/>
      <c r="L283" s="108">
        <v>0.605</v>
      </c>
      <c r="M283" s="109" t="s">
        <v>78</v>
      </c>
      <c r="N283" s="40">
        <v>9.32</v>
      </c>
      <c r="O283" s="117" t="e">
        <f t="shared" si="35"/>
        <v>#REF!</v>
      </c>
      <c r="P283" s="111" t="e">
        <f t="shared" si="33"/>
        <v>#REF!</v>
      </c>
      <c r="Q283" s="112" t="e">
        <f t="shared" si="34"/>
        <v>#REF!</v>
      </c>
      <c r="R283" s="113" t="s">
        <v>765</v>
      </c>
    </row>
    <row r="284" spans="1:18" s="105" customFormat="1" ht="15" customHeight="1">
      <c r="A284" s="101"/>
      <c r="B284" s="107" t="s">
        <v>849</v>
      </c>
      <c r="C284" s="279" t="s">
        <v>727</v>
      </c>
      <c r="D284" s="278"/>
      <c r="E284" s="278"/>
      <c r="F284" s="278"/>
      <c r="G284" s="278"/>
      <c r="H284" s="278"/>
      <c r="I284" s="278"/>
      <c r="J284" s="278"/>
      <c r="K284" s="278"/>
      <c r="L284" s="108">
        <v>1</v>
      </c>
      <c r="M284" s="109" t="s">
        <v>111</v>
      </c>
      <c r="N284" s="40" t="e">
        <f>#REF!</f>
        <v>#REF!</v>
      </c>
      <c r="O284" s="117" t="e">
        <f t="shared" si="27"/>
        <v>#REF!</v>
      </c>
      <c r="P284" s="111" t="e">
        <f t="shared" si="33"/>
        <v>#REF!</v>
      </c>
      <c r="Q284" s="112" t="e">
        <f t="shared" si="34"/>
        <v>#REF!</v>
      </c>
      <c r="R284" s="166" t="e">
        <f>#REF!</f>
        <v>#REF!</v>
      </c>
    </row>
    <row r="285" spans="1:18" s="105" customFormat="1" ht="15" customHeight="1">
      <c r="A285" s="101"/>
      <c r="B285" s="107" t="s">
        <v>850</v>
      </c>
      <c r="C285" s="280" t="s">
        <v>462</v>
      </c>
      <c r="D285" s="281"/>
      <c r="E285" s="281"/>
      <c r="F285" s="281"/>
      <c r="G285" s="281"/>
      <c r="H285" s="281"/>
      <c r="I285" s="281"/>
      <c r="J285" s="281"/>
      <c r="K285" s="282"/>
      <c r="L285" s="108">
        <v>0.505</v>
      </c>
      <c r="M285" s="109" t="s">
        <v>78</v>
      </c>
      <c r="N285" s="40">
        <v>12</v>
      </c>
      <c r="O285" s="117" t="e">
        <f t="shared" si="35"/>
        <v>#REF!</v>
      </c>
      <c r="P285" s="111" t="e">
        <f t="shared" si="33"/>
        <v>#REF!</v>
      </c>
      <c r="Q285" s="112" t="e">
        <f t="shared" si="34"/>
        <v>#REF!</v>
      </c>
      <c r="R285" s="113" t="s">
        <v>468</v>
      </c>
    </row>
    <row r="286" spans="1:18" s="105" customFormat="1" ht="15" customHeight="1">
      <c r="A286" s="101"/>
      <c r="B286" s="107" t="s">
        <v>851</v>
      </c>
      <c r="C286" s="279" t="s">
        <v>728</v>
      </c>
      <c r="D286" s="278"/>
      <c r="E286" s="278"/>
      <c r="F286" s="278"/>
      <c r="G286" s="278"/>
      <c r="H286" s="278"/>
      <c r="I286" s="278"/>
      <c r="J286" s="278"/>
      <c r="K286" s="278"/>
      <c r="L286" s="108">
        <v>2</v>
      </c>
      <c r="M286" s="109" t="s">
        <v>111</v>
      </c>
      <c r="N286" s="40" t="e">
        <f>#REF!</f>
        <v>#REF!</v>
      </c>
      <c r="O286" s="117" t="e">
        <f t="shared" si="27"/>
        <v>#REF!</v>
      </c>
      <c r="P286" s="111" t="e">
        <f t="shared" si="33"/>
        <v>#REF!</v>
      </c>
      <c r="Q286" s="112" t="e">
        <f t="shared" si="34"/>
        <v>#REF!</v>
      </c>
      <c r="R286" s="113" t="e">
        <f>#REF!</f>
        <v>#REF!</v>
      </c>
    </row>
    <row r="287" spans="1:18" s="105" customFormat="1" ht="15" customHeight="1">
      <c r="A287" s="101"/>
      <c r="B287" s="107" t="s">
        <v>852</v>
      </c>
      <c r="C287" s="280" t="s">
        <v>462</v>
      </c>
      <c r="D287" s="281"/>
      <c r="E287" s="281"/>
      <c r="F287" s="281"/>
      <c r="G287" s="281"/>
      <c r="H287" s="281"/>
      <c r="I287" s="281"/>
      <c r="J287" s="281"/>
      <c r="K287" s="282"/>
      <c r="L287" s="108">
        <v>0.267</v>
      </c>
      <c r="M287" s="109" t="s">
        <v>78</v>
      </c>
      <c r="N287" s="40">
        <v>3.14</v>
      </c>
      <c r="O287" s="117" t="e">
        <f t="shared" si="35"/>
        <v>#REF!</v>
      </c>
      <c r="P287" s="111" t="e">
        <f t="shared" si="33"/>
        <v>#REF!</v>
      </c>
      <c r="Q287" s="112" t="e">
        <f t="shared" si="34"/>
        <v>#REF!</v>
      </c>
      <c r="R287" s="113" t="s">
        <v>766</v>
      </c>
    </row>
    <row r="288" spans="1:18" s="105" customFormat="1" ht="15" customHeight="1">
      <c r="A288" s="101"/>
      <c r="B288" s="107" t="s">
        <v>853</v>
      </c>
      <c r="C288" s="279" t="s">
        <v>729</v>
      </c>
      <c r="D288" s="278"/>
      <c r="E288" s="278"/>
      <c r="F288" s="278"/>
      <c r="G288" s="278"/>
      <c r="H288" s="278"/>
      <c r="I288" s="278"/>
      <c r="J288" s="278"/>
      <c r="K288" s="278"/>
      <c r="L288" s="108">
        <v>6</v>
      </c>
      <c r="M288" s="109" t="s">
        <v>111</v>
      </c>
      <c r="N288" s="40" t="e">
        <f>#REF!</f>
        <v>#REF!</v>
      </c>
      <c r="O288" s="117" t="e">
        <f t="shared" si="27"/>
        <v>#REF!</v>
      </c>
      <c r="P288" s="111" t="e">
        <f t="shared" si="33"/>
        <v>#REF!</v>
      </c>
      <c r="Q288" s="112" t="e">
        <f t="shared" si="34"/>
        <v>#REF!</v>
      </c>
      <c r="R288" s="113" t="e">
        <f>#REF!</f>
        <v>#REF!</v>
      </c>
    </row>
    <row r="289" spans="1:18" s="105" customFormat="1" ht="15" customHeight="1">
      <c r="A289" s="101"/>
      <c r="B289" s="107" t="s">
        <v>854</v>
      </c>
      <c r="C289" s="280" t="s">
        <v>462</v>
      </c>
      <c r="D289" s="281"/>
      <c r="E289" s="281"/>
      <c r="F289" s="281"/>
      <c r="G289" s="281"/>
      <c r="H289" s="281"/>
      <c r="I289" s="281"/>
      <c r="J289" s="281"/>
      <c r="K289" s="282"/>
      <c r="L289" s="108">
        <v>0.365</v>
      </c>
      <c r="M289" s="109" t="s">
        <v>78</v>
      </c>
      <c r="N289" s="40">
        <v>2.62</v>
      </c>
      <c r="O289" s="117" t="e">
        <f t="shared" si="35"/>
        <v>#REF!</v>
      </c>
      <c r="P289" s="111" t="e">
        <f t="shared" si="33"/>
        <v>#REF!</v>
      </c>
      <c r="Q289" s="112" t="e">
        <f t="shared" si="34"/>
        <v>#REF!</v>
      </c>
      <c r="R289" s="113" t="s">
        <v>767</v>
      </c>
    </row>
    <row r="290" spans="1:18" s="105" customFormat="1" ht="15" customHeight="1">
      <c r="A290" s="101"/>
      <c r="B290" s="107" t="s">
        <v>855</v>
      </c>
      <c r="C290" s="279" t="s">
        <v>730</v>
      </c>
      <c r="D290" s="278"/>
      <c r="E290" s="278"/>
      <c r="F290" s="278"/>
      <c r="G290" s="278"/>
      <c r="H290" s="278"/>
      <c r="I290" s="278"/>
      <c r="J290" s="278"/>
      <c r="K290" s="278"/>
      <c r="L290" s="108">
        <v>3</v>
      </c>
      <c r="M290" s="109" t="s">
        <v>111</v>
      </c>
      <c r="N290" s="40" t="e">
        <f>#REF!</f>
        <v>#REF!</v>
      </c>
      <c r="O290" s="117" t="e">
        <f t="shared" si="27"/>
        <v>#REF!</v>
      </c>
      <c r="P290" s="111" t="e">
        <f t="shared" si="33"/>
        <v>#REF!</v>
      </c>
      <c r="Q290" s="112" t="e">
        <f t="shared" si="34"/>
        <v>#REF!</v>
      </c>
      <c r="R290" s="113" t="e">
        <f>#REF!</f>
        <v>#REF!</v>
      </c>
    </row>
    <row r="291" spans="1:18" s="105" customFormat="1" ht="15" customHeight="1">
      <c r="A291" s="101"/>
      <c r="B291" s="107" t="s">
        <v>856</v>
      </c>
      <c r="C291" s="280" t="s">
        <v>462</v>
      </c>
      <c r="D291" s="281"/>
      <c r="E291" s="281"/>
      <c r="F291" s="281"/>
      <c r="G291" s="281"/>
      <c r="H291" s="281"/>
      <c r="I291" s="281"/>
      <c r="J291" s="281"/>
      <c r="K291" s="282"/>
      <c r="L291" s="108">
        <v>0.362</v>
      </c>
      <c r="M291" s="109" t="s">
        <v>78</v>
      </c>
      <c r="N291" s="40">
        <v>9.32</v>
      </c>
      <c r="O291" s="117" t="e">
        <f t="shared" si="35"/>
        <v>#REF!</v>
      </c>
      <c r="P291" s="111" t="e">
        <f t="shared" si="33"/>
        <v>#REF!</v>
      </c>
      <c r="Q291" s="112" t="e">
        <f t="shared" si="34"/>
        <v>#REF!</v>
      </c>
      <c r="R291" s="113" t="s">
        <v>765</v>
      </c>
    </row>
    <row r="292" spans="1:18" s="105" customFormat="1" ht="15" customHeight="1">
      <c r="A292" s="101"/>
      <c r="B292" s="107" t="s">
        <v>857</v>
      </c>
      <c r="C292" s="279" t="s">
        <v>731</v>
      </c>
      <c r="D292" s="278"/>
      <c r="E292" s="278"/>
      <c r="F292" s="278"/>
      <c r="G292" s="278"/>
      <c r="H292" s="278"/>
      <c r="I292" s="278"/>
      <c r="J292" s="278"/>
      <c r="K292" s="278"/>
      <c r="L292" s="108">
        <v>1</v>
      </c>
      <c r="M292" s="109" t="s">
        <v>111</v>
      </c>
      <c r="N292" s="40" t="e">
        <f>#REF!</f>
        <v>#REF!</v>
      </c>
      <c r="O292" s="117" t="e">
        <f t="shared" si="27"/>
        <v>#REF!</v>
      </c>
      <c r="P292" s="111" t="e">
        <f t="shared" si="33"/>
        <v>#REF!</v>
      </c>
      <c r="Q292" s="112" t="e">
        <f t="shared" si="34"/>
        <v>#REF!</v>
      </c>
      <c r="R292" s="113" t="e">
        <f>#REF!</f>
        <v>#REF!</v>
      </c>
    </row>
    <row r="293" spans="1:18" s="105" customFormat="1" ht="15" customHeight="1">
      <c r="A293" s="101"/>
      <c r="B293" s="107" t="s">
        <v>858</v>
      </c>
      <c r="C293" s="280" t="s">
        <v>462</v>
      </c>
      <c r="D293" s="281"/>
      <c r="E293" s="281"/>
      <c r="F293" s="281"/>
      <c r="G293" s="281"/>
      <c r="H293" s="281"/>
      <c r="I293" s="281"/>
      <c r="J293" s="281"/>
      <c r="K293" s="282"/>
      <c r="L293" s="108">
        <v>0.22</v>
      </c>
      <c r="M293" s="109" t="s">
        <v>78</v>
      </c>
      <c r="N293" s="40">
        <v>12</v>
      </c>
      <c r="O293" s="117" t="e">
        <f t="shared" si="35"/>
        <v>#REF!</v>
      </c>
      <c r="P293" s="111" t="e">
        <f t="shared" si="33"/>
        <v>#REF!</v>
      </c>
      <c r="Q293" s="112" t="e">
        <f t="shared" si="34"/>
        <v>#REF!</v>
      </c>
      <c r="R293" s="113" t="s">
        <v>468</v>
      </c>
    </row>
    <row r="294" spans="1:18" s="105" customFormat="1" ht="15" customHeight="1">
      <c r="A294" s="101"/>
      <c r="B294" s="107" t="s">
        <v>859</v>
      </c>
      <c r="C294" s="279" t="s">
        <v>732</v>
      </c>
      <c r="D294" s="278"/>
      <c r="E294" s="278"/>
      <c r="F294" s="278"/>
      <c r="G294" s="278"/>
      <c r="H294" s="278"/>
      <c r="I294" s="278"/>
      <c r="J294" s="278"/>
      <c r="K294" s="278"/>
      <c r="L294" s="108">
        <v>1</v>
      </c>
      <c r="M294" s="109" t="s">
        <v>111</v>
      </c>
      <c r="N294" s="40" t="e">
        <f>#REF!</f>
        <v>#REF!</v>
      </c>
      <c r="O294" s="117" t="e">
        <f t="shared" si="27"/>
        <v>#REF!</v>
      </c>
      <c r="P294" s="111" t="e">
        <f t="shared" si="33"/>
        <v>#REF!</v>
      </c>
      <c r="Q294" s="112" t="e">
        <f t="shared" si="34"/>
        <v>#REF!</v>
      </c>
      <c r="R294" s="113" t="e">
        <f>#REF!</f>
        <v>#REF!</v>
      </c>
    </row>
    <row r="295" spans="1:18" s="105" customFormat="1" ht="15" customHeight="1">
      <c r="A295" s="101"/>
      <c r="B295" s="107" t="s">
        <v>860</v>
      </c>
      <c r="C295" s="280" t="s">
        <v>462</v>
      </c>
      <c r="D295" s="281"/>
      <c r="E295" s="281"/>
      <c r="F295" s="281"/>
      <c r="G295" s="281"/>
      <c r="H295" s="281"/>
      <c r="I295" s="281"/>
      <c r="J295" s="281"/>
      <c r="K295" s="282"/>
      <c r="L295" s="108">
        <v>0.77</v>
      </c>
      <c r="M295" s="109" t="s">
        <v>78</v>
      </c>
      <c r="N295" s="40">
        <v>12</v>
      </c>
      <c r="O295" s="117" t="e">
        <f t="shared" si="35"/>
        <v>#REF!</v>
      </c>
      <c r="P295" s="111" t="e">
        <f t="shared" si="33"/>
        <v>#REF!</v>
      </c>
      <c r="Q295" s="112" t="e">
        <f t="shared" si="34"/>
        <v>#REF!</v>
      </c>
      <c r="R295" s="113" t="s">
        <v>468</v>
      </c>
    </row>
    <row r="296" spans="1:18" s="105" customFormat="1" ht="15" customHeight="1">
      <c r="A296" s="101"/>
      <c r="B296" s="107" t="s">
        <v>861</v>
      </c>
      <c r="C296" s="279" t="s">
        <v>295</v>
      </c>
      <c r="D296" s="278"/>
      <c r="E296" s="278"/>
      <c r="F296" s="278"/>
      <c r="G296" s="278"/>
      <c r="H296" s="278"/>
      <c r="I296" s="278"/>
      <c r="J296" s="278"/>
      <c r="K296" s="278"/>
      <c r="L296" s="108">
        <v>1</v>
      </c>
      <c r="M296" s="109" t="s">
        <v>111</v>
      </c>
      <c r="N296" s="40" t="e">
        <f>#REF!</f>
        <v>#REF!</v>
      </c>
      <c r="O296" s="117" t="e">
        <f t="shared" si="27"/>
        <v>#REF!</v>
      </c>
      <c r="P296" s="111" t="e">
        <f t="shared" si="33"/>
        <v>#REF!</v>
      </c>
      <c r="Q296" s="112" t="e">
        <f t="shared" si="34"/>
        <v>#REF!</v>
      </c>
      <c r="R296" s="113" t="e">
        <f>#REF!</f>
        <v>#REF!</v>
      </c>
    </row>
    <row r="297" spans="1:18" s="105" customFormat="1" ht="15" customHeight="1">
      <c r="A297" s="101"/>
      <c r="B297" s="107" t="s">
        <v>862</v>
      </c>
      <c r="C297" s="280" t="s">
        <v>462</v>
      </c>
      <c r="D297" s="281"/>
      <c r="E297" s="281"/>
      <c r="F297" s="281"/>
      <c r="G297" s="281"/>
      <c r="H297" s="281"/>
      <c r="I297" s="281"/>
      <c r="J297" s="281"/>
      <c r="K297" s="282"/>
      <c r="L297" s="108">
        <v>1080.51</v>
      </c>
      <c r="M297" s="109" t="s">
        <v>78</v>
      </c>
      <c r="N297" s="40">
        <v>18.65</v>
      </c>
      <c r="O297" s="117" t="e">
        <f>(1+$Q$3)</f>
        <v>#REF!</v>
      </c>
      <c r="P297" s="111" t="e">
        <f t="shared" si="33"/>
        <v>#REF!</v>
      </c>
      <c r="Q297" s="112" t="e">
        <f t="shared" si="34"/>
        <v>#REF!</v>
      </c>
      <c r="R297" s="113" t="s">
        <v>464</v>
      </c>
    </row>
    <row r="298" spans="1:18" s="105" customFormat="1" ht="15" customHeight="1">
      <c r="A298" s="101"/>
      <c r="B298" s="107" t="s">
        <v>863</v>
      </c>
      <c r="C298" s="279" t="s">
        <v>294</v>
      </c>
      <c r="D298" s="278"/>
      <c r="E298" s="278"/>
      <c r="F298" s="278"/>
      <c r="G298" s="278"/>
      <c r="H298" s="278"/>
      <c r="I298" s="278"/>
      <c r="J298" s="278"/>
      <c r="K298" s="278"/>
      <c r="L298" s="108">
        <v>1</v>
      </c>
      <c r="M298" s="109" t="s">
        <v>111</v>
      </c>
      <c r="N298" s="40" t="e">
        <f>#REF!</f>
        <v>#REF!</v>
      </c>
      <c r="O298" s="117" t="e">
        <f t="shared" si="27"/>
        <v>#REF!</v>
      </c>
      <c r="P298" s="111" t="e">
        <f t="shared" si="33"/>
        <v>#REF!</v>
      </c>
      <c r="Q298" s="112" t="e">
        <f t="shared" si="34"/>
        <v>#REF!</v>
      </c>
      <c r="R298" s="113" t="e">
        <f>#REF!</f>
        <v>#REF!</v>
      </c>
    </row>
    <row r="299" spans="1:18" s="105" customFormat="1" ht="15" customHeight="1">
      <c r="A299" s="101"/>
      <c r="B299" s="107" t="s">
        <v>864</v>
      </c>
      <c r="C299" s="280" t="s">
        <v>462</v>
      </c>
      <c r="D299" s="281"/>
      <c r="E299" s="281"/>
      <c r="F299" s="281"/>
      <c r="G299" s="281"/>
      <c r="H299" s="281"/>
      <c r="I299" s="281"/>
      <c r="J299" s="281"/>
      <c r="K299" s="282"/>
      <c r="L299" s="108">
        <v>495.82</v>
      </c>
      <c r="M299" s="109" t="s">
        <v>78</v>
      </c>
      <c r="N299" s="40">
        <v>18.65</v>
      </c>
      <c r="O299" s="117" t="e">
        <f>(1+$Q$3)</f>
        <v>#REF!</v>
      </c>
      <c r="P299" s="111" t="e">
        <f t="shared" si="33"/>
        <v>#REF!</v>
      </c>
      <c r="Q299" s="112" t="e">
        <f t="shared" si="34"/>
        <v>#REF!</v>
      </c>
      <c r="R299" s="113" t="s">
        <v>464</v>
      </c>
    </row>
    <row r="300" spans="1:18" s="105" customFormat="1" ht="15" customHeight="1">
      <c r="A300" s="101"/>
      <c r="B300" s="107" t="s">
        <v>865</v>
      </c>
      <c r="C300" s="279" t="s">
        <v>297</v>
      </c>
      <c r="D300" s="278"/>
      <c r="E300" s="278"/>
      <c r="F300" s="278"/>
      <c r="G300" s="278"/>
      <c r="H300" s="278"/>
      <c r="I300" s="278"/>
      <c r="J300" s="278"/>
      <c r="K300" s="278"/>
      <c r="L300" s="108">
        <v>1</v>
      </c>
      <c r="M300" s="109" t="s">
        <v>111</v>
      </c>
      <c r="N300" s="40" t="e">
        <f>#REF!</f>
        <v>#REF!</v>
      </c>
      <c r="O300" s="117" t="e">
        <f t="shared" si="27"/>
        <v>#REF!</v>
      </c>
      <c r="P300" s="111" t="e">
        <f t="shared" si="33"/>
        <v>#REF!</v>
      </c>
      <c r="Q300" s="112" t="e">
        <f t="shared" si="34"/>
        <v>#REF!</v>
      </c>
      <c r="R300" s="113" t="e">
        <f>#REF!</f>
        <v>#REF!</v>
      </c>
    </row>
    <row r="301" spans="1:18" s="105" customFormat="1" ht="15" customHeight="1">
      <c r="A301" s="101"/>
      <c r="B301" s="107" t="s">
        <v>866</v>
      </c>
      <c r="C301" s="280" t="s">
        <v>462</v>
      </c>
      <c r="D301" s="281"/>
      <c r="E301" s="281"/>
      <c r="F301" s="281"/>
      <c r="G301" s="281"/>
      <c r="H301" s="281"/>
      <c r="I301" s="281"/>
      <c r="J301" s="281"/>
      <c r="K301" s="282"/>
      <c r="L301" s="108">
        <v>1018.97</v>
      </c>
      <c r="M301" s="109" t="s">
        <v>78</v>
      </c>
      <c r="N301" s="40">
        <v>18.65</v>
      </c>
      <c r="O301" s="117" t="e">
        <f>(1+$Q$3)</f>
        <v>#REF!</v>
      </c>
      <c r="P301" s="111" t="e">
        <f t="shared" si="33"/>
        <v>#REF!</v>
      </c>
      <c r="Q301" s="112" t="e">
        <f t="shared" si="34"/>
        <v>#REF!</v>
      </c>
      <c r="R301" s="113" t="s">
        <v>464</v>
      </c>
    </row>
    <row r="302" spans="1:18" s="105" customFormat="1" ht="15" customHeight="1">
      <c r="A302" s="101"/>
      <c r="B302" s="107" t="s">
        <v>867</v>
      </c>
      <c r="C302" s="279" t="s">
        <v>733</v>
      </c>
      <c r="D302" s="278"/>
      <c r="E302" s="278"/>
      <c r="F302" s="278"/>
      <c r="G302" s="278"/>
      <c r="H302" s="278"/>
      <c r="I302" s="278"/>
      <c r="J302" s="278"/>
      <c r="K302" s="278"/>
      <c r="L302" s="108">
        <v>1</v>
      </c>
      <c r="M302" s="109" t="s">
        <v>111</v>
      </c>
      <c r="N302" s="40" t="e">
        <f>#REF!</f>
        <v>#REF!</v>
      </c>
      <c r="O302" s="117" t="e">
        <f t="shared" si="27"/>
        <v>#REF!</v>
      </c>
      <c r="P302" s="111" t="e">
        <f t="shared" si="33"/>
        <v>#REF!</v>
      </c>
      <c r="Q302" s="112" t="e">
        <f t="shared" si="34"/>
        <v>#REF!</v>
      </c>
      <c r="R302" s="113" t="e">
        <f>#REF!</f>
        <v>#REF!</v>
      </c>
    </row>
    <row r="303" spans="1:18" s="105" customFormat="1" ht="15" customHeight="1">
      <c r="A303" s="101"/>
      <c r="B303" s="107" t="s">
        <v>868</v>
      </c>
      <c r="C303" s="280" t="s">
        <v>462</v>
      </c>
      <c r="D303" s="281"/>
      <c r="E303" s="281"/>
      <c r="F303" s="281"/>
      <c r="G303" s="281"/>
      <c r="H303" s="281"/>
      <c r="I303" s="281"/>
      <c r="J303" s="281"/>
      <c r="K303" s="282"/>
      <c r="L303" s="108">
        <v>5.6</v>
      </c>
      <c r="M303" s="109" t="s">
        <v>78</v>
      </c>
      <c r="N303" s="40">
        <v>18.65</v>
      </c>
      <c r="O303" s="117" t="e">
        <f>(1+$Q$3)</f>
        <v>#REF!</v>
      </c>
      <c r="P303" s="111" t="e">
        <f t="shared" si="33"/>
        <v>#REF!</v>
      </c>
      <c r="Q303" s="112" t="e">
        <f t="shared" si="34"/>
        <v>#REF!</v>
      </c>
      <c r="R303" s="113" t="s">
        <v>464</v>
      </c>
    </row>
    <row r="304" spans="1:18" s="105" customFormat="1" ht="15" customHeight="1">
      <c r="A304" s="101"/>
      <c r="B304" s="107" t="s">
        <v>869</v>
      </c>
      <c r="C304" s="279" t="s">
        <v>734</v>
      </c>
      <c r="D304" s="278"/>
      <c r="E304" s="278"/>
      <c r="F304" s="278"/>
      <c r="G304" s="278"/>
      <c r="H304" s="278"/>
      <c r="I304" s="278"/>
      <c r="J304" s="278"/>
      <c r="K304" s="278"/>
      <c r="L304" s="108">
        <v>1</v>
      </c>
      <c r="M304" s="109" t="s">
        <v>111</v>
      </c>
      <c r="N304" s="40" t="e">
        <f>#REF!</f>
        <v>#REF!</v>
      </c>
      <c r="O304" s="117" t="e">
        <f t="shared" si="27"/>
        <v>#REF!</v>
      </c>
      <c r="P304" s="111" t="e">
        <f aca="true" t="shared" si="36" ref="P304:P335">ROUND(N304*O304,2)</f>
        <v>#REF!</v>
      </c>
      <c r="Q304" s="112" t="e">
        <f aca="true" t="shared" si="37" ref="Q304:Q335">ROUND(L304*P304,2)</f>
        <v>#REF!</v>
      </c>
      <c r="R304" s="113" t="e">
        <f>#REF!</f>
        <v>#REF!</v>
      </c>
    </row>
    <row r="305" spans="1:18" s="105" customFormat="1" ht="15" customHeight="1">
      <c r="A305" s="101"/>
      <c r="B305" s="107" t="s">
        <v>870</v>
      </c>
      <c r="C305" s="280" t="s">
        <v>462</v>
      </c>
      <c r="D305" s="281"/>
      <c r="E305" s="281"/>
      <c r="F305" s="281"/>
      <c r="G305" s="281"/>
      <c r="H305" s="281"/>
      <c r="I305" s="281"/>
      <c r="J305" s="281"/>
      <c r="K305" s="282"/>
      <c r="L305" s="108">
        <v>0.8</v>
      </c>
      <c r="M305" s="109" t="s">
        <v>78</v>
      </c>
      <c r="N305" s="40">
        <v>23.49</v>
      </c>
      <c r="O305" s="117" t="e">
        <f>(1+$Q$3)</f>
        <v>#REF!</v>
      </c>
      <c r="P305" s="111" t="e">
        <f t="shared" si="36"/>
        <v>#REF!</v>
      </c>
      <c r="Q305" s="112" t="e">
        <f t="shared" si="37"/>
        <v>#REF!</v>
      </c>
      <c r="R305" s="113" t="s">
        <v>465</v>
      </c>
    </row>
    <row r="306" spans="1:18" s="105" customFormat="1" ht="15" customHeight="1">
      <c r="A306" s="101"/>
      <c r="B306" s="107" t="s">
        <v>871</v>
      </c>
      <c r="C306" s="279" t="s">
        <v>296</v>
      </c>
      <c r="D306" s="278"/>
      <c r="E306" s="278"/>
      <c r="F306" s="278"/>
      <c r="G306" s="278"/>
      <c r="H306" s="278"/>
      <c r="I306" s="278"/>
      <c r="J306" s="278"/>
      <c r="K306" s="278"/>
      <c r="L306" s="108">
        <v>1</v>
      </c>
      <c r="M306" s="109" t="s">
        <v>111</v>
      </c>
      <c r="N306" s="40" t="e">
        <f>#REF!</f>
        <v>#REF!</v>
      </c>
      <c r="O306" s="117" t="e">
        <f t="shared" si="27"/>
        <v>#REF!</v>
      </c>
      <c r="P306" s="111" t="e">
        <f t="shared" si="36"/>
        <v>#REF!</v>
      </c>
      <c r="Q306" s="112" t="e">
        <f t="shared" si="37"/>
        <v>#REF!</v>
      </c>
      <c r="R306" s="113" t="e">
        <f>#REF!</f>
        <v>#REF!</v>
      </c>
    </row>
    <row r="307" spans="1:18" s="105" customFormat="1" ht="15" customHeight="1">
      <c r="A307" s="101"/>
      <c r="B307" s="107" t="s">
        <v>872</v>
      </c>
      <c r="C307" s="280" t="s">
        <v>462</v>
      </c>
      <c r="D307" s="281"/>
      <c r="E307" s="281"/>
      <c r="F307" s="281"/>
      <c r="G307" s="281"/>
      <c r="H307" s="281"/>
      <c r="I307" s="281"/>
      <c r="J307" s="281"/>
      <c r="K307" s="282"/>
      <c r="L307" s="108">
        <v>1665.38</v>
      </c>
      <c r="M307" s="109" t="s">
        <v>78</v>
      </c>
      <c r="N307" s="40">
        <v>23.49</v>
      </c>
      <c r="O307" s="117" t="e">
        <f>(1+$Q$3)</f>
        <v>#REF!</v>
      </c>
      <c r="P307" s="111" t="e">
        <f t="shared" si="36"/>
        <v>#REF!</v>
      </c>
      <c r="Q307" s="112" t="e">
        <f t="shared" si="37"/>
        <v>#REF!</v>
      </c>
      <c r="R307" s="113" t="s">
        <v>465</v>
      </c>
    </row>
    <row r="308" spans="1:18" s="105" customFormat="1" ht="15" customHeight="1">
      <c r="A308" s="101"/>
      <c r="B308" s="107" t="s">
        <v>873</v>
      </c>
      <c r="C308" s="279" t="s">
        <v>298</v>
      </c>
      <c r="D308" s="278"/>
      <c r="E308" s="278"/>
      <c r="F308" s="278"/>
      <c r="G308" s="278"/>
      <c r="H308" s="278"/>
      <c r="I308" s="278"/>
      <c r="J308" s="278"/>
      <c r="K308" s="278"/>
      <c r="L308" s="108">
        <v>1</v>
      </c>
      <c r="M308" s="109" t="s">
        <v>111</v>
      </c>
      <c r="N308" s="40" t="e">
        <f>#REF!</f>
        <v>#REF!</v>
      </c>
      <c r="O308" s="117" t="e">
        <f t="shared" si="27"/>
        <v>#REF!</v>
      </c>
      <c r="P308" s="111" t="e">
        <f t="shared" si="36"/>
        <v>#REF!</v>
      </c>
      <c r="Q308" s="112" t="e">
        <f t="shared" si="37"/>
        <v>#REF!</v>
      </c>
      <c r="R308" s="113" t="e">
        <f>#REF!</f>
        <v>#REF!</v>
      </c>
    </row>
    <row r="309" spans="1:18" s="105" customFormat="1" ht="15" customHeight="1">
      <c r="A309" s="101"/>
      <c r="B309" s="107" t="s">
        <v>874</v>
      </c>
      <c r="C309" s="280" t="s">
        <v>462</v>
      </c>
      <c r="D309" s="281"/>
      <c r="E309" s="281"/>
      <c r="F309" s="281"/>
      <c r="G309" s="281"/>
      <c r="H309" s="281"/>
      <c r="I309" s="281"/>
      <c r="J309" s="281"/>
      <c r="K309" s="282"/>
      <c r="L309" s="108">
        <v>912.38</v>
      </c>
      <c r="M309" s="109" t="s">
        <v>78</v>
      </c>
      <c r="N309" s="40">
        <v>18.65</v>
      </c>
      <c r="O309" s="117" t="e">
        <f aca="true" t="shared" si="38" ref="O309:O321">(1+$Q$3)</f>
        <v>#REF!</v>
      </c>
      <c r="P309" s="111" t="e">
        <f t="shared" si="36"/>
        <v>#REF!</v>
      </c>
      <c r="Q309" s="112" t="e">
        <f t="shared" si="37"/>
        <v>#REF!</v>
      </c>
      <c r="R309" s="113" t="s">
        <v>464</v>
      </c>
    </row>
    <row r="310" spans="1:18" s="105" customFormat="1" ht="15" customHeight="1">
      <c r="A310" s="101"/>
      <c r="B310" s="107" t="s">
        <v>875</v>
      </c>
      <c r="C310" s="279" t="s">
        <v>735</v>
      </c>
      <c r="D310" s="278"/>
      <c r="E310" s="278"/>
      <c r="F310" s="278"/>
      <c r="G310" s="278"/>
      <c r="H310" s="278"/>
      <c r="I310" s="278"/>
      <c r="J310" s="278"/>
      <c r="K310" s="278"/>
      <c r="L310" s="108">
        <v>1</v>
      </c>
      <c r="M310" s="109" t="s">
        <v>111</v>
      </c>
      <c r="N310" s="40" t="e">
        <f>#REF!</f>
        <v>#REF!</v>
      </c>
      <c r="O310" s="117" t="e">
        <f t="shared" si="27"/>
        <v>#REF!</v>
      </c>
      <c r="P310" s="111" t="e">
        <f t="shared" si="36"/>
        <v>#REF!</v>
      </c>
      <c r="Q310" s="112" t="e">
        <f t="shared" si="37"/>
        <v>#REF!</v>
      </c>
      <c r="R310" s="113" t="e">
        <f>#REF!</f>
        <v>#REF!</v>
      </c>
    </row>
    <row r="311" spans="1:18" s="105" customFormat="1" ht="15" customHeight="1">
      <c r="A311" s="101"/>
      <c r="B311" s="107" t="s">
        <v>876</v>
      </c>
      <c r="C311" s="280" t="s">
        <v>462</v>
      </c>
      <c r="D311" s="281"/>
      <c r="E311" s="281"/>
      <c r="F311" s="281"/>
      <c r="G311" s="281"/>
      <c r="H311" s="281"/>
      <c r="I311" s="281"/>
      <c r="J311" s="281"/>
      <c r="K311" s="282"/>
      <c r="L311" s="108">
        <v>0.83</v>
      </c>
      <c r="M311" s="109" t="s">
        <v>78</v>
      </c>
      <c r="N311" s="40">
        <v>12</v>
      </c>
      <c r="O311" s="117" t="e">
        <f t="shared" si="38"/>
        <v>#REF!</v>
      </c>
      <c r="P311" s="111" t="e">
        <f t="shared" si="36"/>
        <v>#REF!</v>
      </c>
      <c r="Q311" s="112" t="e">
        <f t="shared" si="37"/>
        <v>#REF!</v>
      </c>
      <c r="R311" s="113" t="s">
        <v>468</v>
      </c>
    </row>
    <row r="312" spans="1:18" s="105" customFormat="1" ht="15" customHeight="1">
      <c r="A312" s="101"/>
      <c r="B312" s="107" t="s">
        <v>877</v>
      </c>
      <c r="C312" s="279" t="s">
        <v>736</v>
      </c>
      <c r="D312" s="278"/>
      <c r="E312" s="278"/>
      <c r="F312" s="278"/>
      <c r="G312" s="278"/>
      <c r="H312" s="278"/>
      <c r="I312" s="278"/>
      <c r="J312" s="278"/>
      <c r="K312" s="278"/>
      <c r="L312" s="108">
        <v>2</v>
      </c>
      <c r="M312" s="109" t="s">
        <v>111</v>
      </c>
      <c r="N312" s="40" t="e">
        <f>#REF!</f>
        <v>#REF!</v>
      </c>
      <c r="O312" s="117" t="e">
        <f t="shared" si="27"/>
        <v>#REF!</v>
      </c>
      <c r="P312" s="111" t="e">
        <f t="shared" si="36"/>
        <v>#REF!</v>
      </c>
      <c r="Q312" s="112" t="e">
        <f t="shared" si="37"/>
        <v>#REF!</v>
      </c>
      <c r="R312" s="113" t="e">
        <f>#REF!</f>
        <v>#REF!</v>
      </c>
    </row>
    <row r="313" spans="1:18" s="105" customFormat="1" ht="15" customHeight="1">
      <c r="A313" s="101"/>
      <c r="B313" s="107" t="s">
        <v>878</v>
      </c>
      <c r="C313" s="280" t="s">
        <v>462</v>
      </c>
      <c r="D313" s="281"/>
      <c r="E313" s="281"/>
      <c r="F313" s="281"/>
      <c r="G313" s="281"/>
      <c r="H313" s="281"/>
      <c r="I313" s="281"/>
      <c r="J313" s="281"/>
      <c r="K313" s="282"/>
      <c r="L313" s="108">
        <v>0.6</v>
      </c>
      <c r="M313" s="109" t="s">
        <v>78</v>
      </c>
      <c r="N313" s="40">
        <v>18.65</v>
      </c>
      <c r="O313" s="117" t="e">
        <f t="shared" si="38"/>
        <v>#REF!</v>
      </c>
      <c r="P313" s="111" t="e">
        <f t="shared" si="36"/>
        <v>#REF!</v>
      </c>
      <c r="Q313" s="112" t="e">
        <f t="shared" si="37"/>
        <v>#REF!</v>
      </c>
      <c r="R313" s="113" t="s">
        <v>464</v>
      </c>
    </row>
    <row r="314" spans="1:18" s="105" customFormat="1" ht="15" customHeight="1">
      <c r="A314" s="101"/>
      <c r="B314" s="107" t="s">
        <v>879</v>
      </c>
      <c r="C314" s="279" t="s">
        <v>737</v>
      </c>
      <c r="D314" s="278"/>
      <c r="E314" s="278"/>
      <c r="F314" s="278"/>
      <c r="G314" s="278"/>
      <c r="H314" s="278"/>
      <c r="I314" s="278"/>
      <c r="J314" s="278"/>
      <c r="K314" s="278"/>
      <c r="L314" s="108">
        <v>3</v>
      </c>
      <c r="M314" s="109" t="s">
        <v>111</v>
      </c>
      <c r="N314" s="40" t="e">
        <f>#REF!</f>
        <v>#REF!</v>
      </c>
      <c r="O314" s="117" t="e">
        <f t="shared" si="27"/>
        <v>#REF!</v>
      </c>
      <c r="P314" s="111" t="e">
        <f t="shared" si="36"/>
        <v>#REF!</v>
      </c>
      <c r="Q314" s="112" t="e">
        <f t="shared" si="37"/>
        <v>#REF!</v>
      </c>
      <c r="R314" s="113" t="e">
        <f>#REF!</f>
        <v>#REF!</v>
      </c>
    </row>
    <row r="315" spans="1:18" s="105" customFormat="1" ht="15" customHeight="1">
      <c r="A315" s="101"/>
      <c r="B315" s="107" t="s">
        <v>880</v>
      </c>
      <c r="C315" s="280" t="s">
        <v>462</v>
      </c>
      <c r="D315" s="281"/>
      <c r="E315" s="281"/>
      <c r="F315" s="281"/>
      <c r="G315" s="281"/>
      <c r="H315" s="281"/>
      <c r="I315" s="281"/>
      <c r="J315" s="281"/>
      <c r="K315" s="282"/>
      <c r="L315" s="108">
        <v>0.93</v>
      </c>
      <c r="M315" s="109" t="s">
        <v>78</v>
      </c>
      <c r="N315" s="40">
        <v>18.65</v>
      </c>
      <c r="O315" s="117" t="e">
        <f t="shared" si="38"/>
        <v>#REF!</v>
      </c>
      <c r="P315" s="111" t="e">
        <f t="shared" si="36"/>
        <v>#REF!</v>
      </c>
      <c r="Q315" s="112" t="e">
        <f t="shared" si="37"/>
        <v>#REF!</v>
      </c>
      <c r="R315" s="113" t="s">
        <v>464</v>
      </c>
    </row>
    <row r="316" spans="1:18" s="105" customFormat="1" ht="15" customHeight="1">
      <c r="A316" s="101"/>
      <c r="B316" s="107" t="s">
        <v>881</v>
      </c>
      <c r="C316" s="279" t="s">
        <v>738</v>
      </c>
      <c r="D316" s="278"/>
      <c r="E316" s="278"/>
      <c r="F316" s="278"/>
      <c r="G316" s="278"/>
      <c r="H316" s="278"/>
      <c r="I316" s="278"/>
      <c r="J316" s="278"/>
      <c r="K316" s="278"/>
      <c r="L316" s="108">
        <v>2</v>
      </c>
      <c r="M316" s="109" t="s">
        <v>111</v>
      </c>
      <c r="N316" s="40" t="e">
        <f>#REF!</f>
        <v>#REF!</v>
      </c>
      <c r="O316" s="117" t="e">
        <f t="shared" si="27"/>
        <v>#REF!</v>
      </c>
      <c r="P316" s="111" t="e">
        <f t="shared" si="36"/>
        <v>#REF!</v>
      </c>
      <c r="Q316" s="112" t="e">
        <f t="shared" si="37"/>
        <v>#REF!</v>
      </c>
      <c r="R316" s="113" t="e">
        <f>#REF!</f>
        <v>#REF!</v>
      </c>
    </row>
    <row r="317" spans="1:18" s="105" customFormat="1" ht="15" customHeight="1">
      <c r="A317" s="101"/>
      <c r="B317" s="107" t="s">
        <v>882</v>
      </c>
      <c r="C317" s="280" t="s">
        <v>461</v>
      </c>
      <c r="D317" s="281"/>
      <c r="E317" s="281"/>
      <c r="F317" s="281"/>
      <c r="G317" s="281"/>
      <c r="H317" s="281"/>
      <c r="I317" s="281"/>
      <c r="J317" s="281"/>
      <c r="K317" s="282"/>
      <c r="L317" s="108">
        <f>149*L316</f>
        <v>298</v>
      </c>
      <c r="M317" s="109" t="s">
        <v>140</v>
      </c>
      <c r="N317" s="40">
        <v>0.79</v>
      </c>
      <c r="O317" s="117" t="e">
        <f t="shared" si="38"/>
        <v>#REF!</v>
      </c>
      <c r="P317" s="111" t="e">
        <f t="shared" si="36"/>
        <v>#REF!</v>
      </c>
      <c r="Q317" s="112" t="e">
        <f t="shared" si="37"/>
        <v>#REF!</v>
      </c>
      <c r="R317" s="113">
        <v>83725</v>
      </c>
    </row>
    <row r="318" spans="1:18" s="105" customFormat="1" ht="15" customHeight="1">
      <c r="A318" s="101"/>
      <c r="B318" s="107" t="s">
        <v>883</v>
      </c>
      <c r="C318" s="279" t="s">
        <v>739</v>
      </c>
      <c r="D318" s="278"/>
      <c r="E318" s="278"/>
      <c r="F318" s="278"/>
      <c r="G318" s="278"/>
      <c r="H318" s="278"/>
      <c r="I318" s="278"/>
      <c r="J318" s="278"/>
      <c r="K318" s="278"/>
      <c r="L318" s="108">
        <v>6</v>
      </c>
      <c r="M318" s="109" t="s">
        <v>111</v>
      </c>
      <c r="N318" s="40" t="e">
        <f>#REF!</f>
        <v>#REF!</v>
      </c>
      <c r="O318" s="117" t="e">
        <f t="shared" si="27"/>
        <v>#REF!</v>
      </c>
      <c r="P318" s="111" t="e">
        <f t="shared" si="36"/>
        <v>#REF!</v>
      </c>
      <c r="Q318" s="112" t="e">
        <f t="shared" si="37"/>
        <v>#REF!</v>
      </c>
      <c r="R318" s="113" t="e">
        <f>#REF!</f>
        <v>#REF!</v>
      </c>
    </row>
    <row r="319" spans="1:18" s="105" customFormat="1" ht="15" customHeight="1">
      <c r="A319" s="101"/>
      <c r="B319" s="107" t="s">
        <v>884</v>
      </c>
      <c r="C319" s="280" t="s">
        <v>461</v>
      </c>
      <c r="D319" s="281"/>
      <c r="E319" s="281"/>
      <c r="F319" s="281"/>
      <c r="G319" s="281"/>
      <c r="H319" s="281"/>
      <c r="I319" s="281"/>
      <c r="J319" s="281"/>
      <c r="K319" s="282"/>
      <c r="L319" s="108">
        <f>88.6*L318</f>
        <v>531.5999999999999</v>
      </c>
      <c r="M319" s="109" t="s">
        <v>140</v>
      </c>
      <c r="N319" s="40">
        <v>1.29</v>
      </c>
      <c r="O319" s="117" t="e">
        <f t="shared" si="38"/>
        <v>#REF!</v>
      </c>
      <c r="P319" s="111" t="e">
        <f t="shared" si="36"/>
        <v>#REF!</v>
      </c>
      <c r="Q319" s="112" t="e">
        <f t="shared" si="37"/>
        <v>#REF!</v>
      </c>
      <c r="R319" s="113">
        <v>83724</v>
      </c>
    </row>
    <row r="320" spans="1:18" s="105" customFormat="1" ht="15" customHeight="1">
      <c r="A320" s="101"/>
      <c r="B320" s="107" t="s">
        <v>885</v>
      </c>
      <c r="C320" s="279" t="s">
        <v>740</v>
      </c>
      <c r="D320" s="278"/>
      <c r="E320" s="278"/>
      <c r="F320" s="278"/>
      <c r="G320" s="278"/>
      <c r="H320" s="278"/>
      <c r="I320" s="278"/>
      <c r="J320" s="278"/>
      <c r="K320" s="278"/>
      <c r="L320" s="108">
        <v>3</v>
      </c>
      <c r="M320" s="109" t="s">
        <v>111</v>
      </c>
      <c r="N320" s="40" t="e">
        <f>#REF!</f>
        <v>#REF!</v>
      </c>
      <c r="O320" s="117" t="e">
        <f t="shared" si="27"/>
        <v>#REF!</v>
      </c>
      <c r="P320" s="111" t="e">
        <f t="shared" si="36"/>
        <v>#REF!</v>
      </c>
      <c r="Q320" s="112" t="e">
        <f t="shared" si="37"/>
        <v>#REF!</v>
      </c>
      <c r="R320" s="113" t="e">
        <f>#REF!</f>
        <v>#REF!</v>
      </c>
    </row>
    <row r="321" spans="1:18" s="105" customFormat="1" ht="15" customHeight="1">
      <c r="A321" s="101"/>
      <c r="B321" s="107" t="s">
        <v>886</v>
      </c>
      <c r="C321" s="280" t="s">
        <v>461</v>
      </c>
      <c r="D321" s="281"/>
      <c r="E321" s="281"/>
      <c r="F321" s="281"/>
      <c r="G321" s="281"/>
      <c r="H321" s="281"/>
      <c r="I321" s="281"/>
      <c r="J321" s="281"/>
      <c r="K321" s="282"/>
      <c r="L321" s="108">
        <f>225*L320</f>
        <v>675</v>
      </c>
      <c r="M321" s="109" t="s">
        <v>140</v>
      </c>
      <c r="N321" s="40">
        <v>0.79</v>
      </c>
      <c r="O321" s="117" t="e">
        <f t="shared" si="38"/>
        <v>#REF!</v>
      </c>
      <c r="P321" s="111" t="e">
        <f t="shared" si="36"/>
        <v>#REF!</v>
      </c>
      <c r="Q321" s="112" t="e">
        <f t="shared" si="37"/>
        <v>#REF!</v>
      </c>
      <c r="R321" s="113">
        <v>83725</v>
      </c>
    </row>
    <row r="322" spans="1:18" s="105" customFormat="1" ht="15" customHeight="1">
      <c r="A322" s="101"/>
      <c r="B322" s="107" t="s">
        <v>887</v>
      </c>
      <c r="C322" s="283" t="s">
        <v>299</v>
      </c>
      <c r="D322" s="284"/>
      <c r="E322" s="284"/>
      <c r="F322" s="284"/>
      <c r="G322" s="284"/>
      <c r="H322" s="284"/>
      <c r="I322" s="284"/>
      <c r="J322" s="284"/>
      <c r="K322" s="284"/>
      <c r="L322" s="118">
        <v>5</v>
      </c>
      <c r="M322" s="119" t="s">
        <v>111</v>
      </c>
      <c r="N322" s="182" t="e">
        <f>#REF!</f>
        <v>#REF!</v>
      </c>
      <c r="O322" s="124" t="e">
        <f t="shared" si="27"/>
        <v>#REF!</v>
      </c>
      <c r="P322" s="125" t="e">
        <f t="shared" si="36"/>
        <v>#REF!</v>
      </c>
      <c r="Q322" s="120" t="e">
        <f t="shared" si="37"/>
        <v>#REF!</v>
      </c>
      <c r="R322" s="113" t="e">
        <f>#REF!</f>
        <v>#REF!</v>
      </c>
    </row>
    <row r="323" spans="1:18" s="105" customFormat="1" ht="15" customHeight="1">
      <c r="A323" s="101"/>
      <c r="B323" s="107" t="s">
        <v>888</v>
      </c>
      <c r="C323" s="289" t="s">
        <v>461</v>
      </c>
      <c r="D323" s="290"/>
      <c r="E323" s="290"/>
      <c r="F323" s="290"/>
      <c r="G323" s="290"/>
      <c r="H323" s="290"/>
      <c r="I323" s="290"/>
      <c r="J323" s="290"/>
      <c r="K323" s="291"/>
      <c r="L323" s="118">
        <f>140*L322</f>
        <v>700</v>
      </c>
      <c r="M323" s="119" t="s">
        <v>140</v>
      </c>
      <c r="N323" s="182">
        <v>0.79</v>
      </c>
      <c r="O323" s="124" t="e">
        <f>(1+$Q$3)</f>
        <v>#REF!</v>
      </c>
      <c r="P323" s="125" t="e">
        <f t="shared" si="36"/>
        <v>#REF!</v>
      </c>
      <c r="Q323" s="120" t="e">
        <f t="shared" si="37"/>
        <v>#REF!</v>
      </c>
      <c r="R323" s="113">
        <v>83725</v>
      </c>
    </row>
    <row r="324" spans="1:18" s="105" customFormat="1" ht="15" customHeight="1">
      <c r="A324" s="101"/>
      <c r="B324" s="107" t="s">
        <v>889</v>
      </c>
      <c r="C324" s="279" t="s">
        <v>741</v>
      </c>
      <c r="D324" s="278"/>
      <c r="E324" s="278"/>
      <c r="F324" s="278"/>
      <c r="G324" s="278"/>
      <c r="H324" s="278"/>
      <c r="I324" s="278"/>
      <c r="J324" s="278"/>
      <c r="K324" s="278"/>
      <c r="L324" s="108">
        <v>1</v>
      </c>
      <c r="M324" s="109" t="s">
        <v>111</v>
      </c>
      <c r="N324" s="40" t="e">
        <f>#REF!</f>
        <v>#REF!</v>
      </c>
      <c r="O324" s="117" t="e">
        <f t="shared" si="27"/>
        <v>#REF!</v>
      </c>
      <c r="P324" s="111" t="e">
        <f t="shared" si="36"/>
        <v>#REF!</v>
      </c>
      <c r="Q324" s="112" t="e">
        <f t="shared" si="37"/>
        <v>#REF!</v>
      </c>
      <c r="R324" s="113" t="e">
        <f>#REF!</f>
        <v>#REF!</v>
      </c>
    </row>
    <row r="325" spans="1:18" s="105" customFormat="1" ht="15" customHeight="1">
      <c r="A325" s="101"/>
      <c r="B325" s="107" t="s">
        <v>890</v>
      </c>
      <c r="C325" s="280" t="s">
        <v>461</v>
      </c>
      <c r="D325" s="281"/>
      <c r="E325" s="281"/>
      <c r="F325" s="281"/>
      <c r="G325" s="281"/>
      <c r="H325" s="281"/>
      <c r="I325" s="281"/>
      <c r="J325" s="281"/>
      <c r="K325" s="282"/>
      <c r="L325" s="108">
        <f>140*L324</f>
        <v>140</v>
      </c>
      <c r="M325" s="109" t="s">
        <v>140</v>
      </c>
      <c r="N325" s="40">
        <v>0.59</v>
      </c>
      <c r="O325" s="117" t="e">
        <f>(1+$Q$3)</f>
        <v>#REF!</v>
      </c>
      <c r="P325" s="111" t="e">
        <f t="shared" si="36"/>
        <v>#REF!</v>
      </c>
      <c r="Q325" s="112" t="e">
        <f t="shared" si="37"/>
        <v>#REF!</v>
      </c>
      <c r="R325" s="113">
        <v>83726</v>
      </c>
    </row>
    <row r="326" spans="1:18" s="105" customFormat="1" ht="15" customHeight="1">
      <c r="A326" s="101"/>
      <c r="B326" s="107" t="s">
        <v>891</v>
      </c>
      <c r="C326" s="279" t="s">
        <v>742</v>
      </c>
      <c r="D326" s="278"/>
      <c r="E326" s="278"/>
      <c r="F326" s="278"/>
      <c r="G326" s="278"/>
      <c r="H326" s="278"/>
      <c r="I326" s="278"/>
      <c r="J326" s="278"/>
      <c r="K326" s="278"/>
      <c r="L326" s="108">
        <v>1</v>
      </c>
      <c r="M326" s="109" t="s">
        <v>111</v>
      </c>
      <c r="N326" s="40" t="e">
        <f>#REF!</f>
        <v>#REF!</v>
      </c>
      <c r="O326" s="117" t="e">
        <f t="shared" si="27"/>
        <v>#REF!</v>
      </c>
      <c r="P326" s="111" t="e">
        <f t="shared" si="36"/>
        <v>#REF!</v>
      </c>
      <c r="Q326" s="112" t="e">
        <f t="shared" si="37"/>
        <v>#REF!</v>
      </c>
      <c r="R326" s="113" t="e">
        <f>#REF!</f>
        <v>#REF!</v>
      </c>
    </row>
    <row r="327" spans="1:18" s="105" customFormat="1" ht="15" customHeight="1">
      <c r="A327" s="101"/>
      <c r="B327" s="107" t="s">
        <v>892</v>
      </c>
      <c r="C327" s="280" t="s">
        <v>461</v>
      </c>
      <c r="D327" s="281"/>
      <c r="E327" s="281"/>
      <c r="F327" s="281"/>
      <c r="G327" s="281"/>
      <c r="H327" s="281"/>
      <c r="I327" s="281"/>
      <c r="J327" s="281"/>
      <c r="K327" s="282"/>
      <c r="L327" s="108">
        <f>482.5*L326</f>
        <v>482.5</v>
      </c>
      <c r="M327" s="109" t="s">
        <v>140</v>
      </c>
      <c r="N327" s="40">
        <v>0.59</v>
      </c>
      <c r="O327" s="117" t="e">
        <f>(1+$Q$3)</f>
        <v>#REF!</v>
      </c>
      <c r="P327" s="111" t="e">
        <f t="shared" si="36"/>
        <v>#REF!</v>
      </c>
      <c r="Q327" s="112" t="e">
        <f t="shared" si="37"/>
        <v>#REF!</v>
      </c>
      <c r="R327" s="113">
        <v>83726</v>
      </c>
    </row>
    <row r="328" spans="1:18" s="105" customFormat="1" ht="15" customHeight="1">
      <c r="A328" s="101"/>
      <c r="B328" s="107" t="s">
        <v>893</v>
      </c>
      <c r="C328" s="279" t="s">
        <v>300</v>
      </c>
      <c r="D328" s="278"/>
      <c r="E328" s="278"/>
      <c r="F328" s="278"/>
      <c r="G328" s="278"/>
      <c r="H328" s="278"/>
      <c r="I328" s="278"/>
      <c r="J328" s="278"/>
      <c r="K328" s="278"/>
      <c r="L328" s="108">
        <v>2</v>
      </c>
      <c r="M328" s="109" t="s">
        <v>111</v>
      </c>
      <c r="N328" s="40" t="e">
        <f>#REF!</f>
        <v>#REF!</v>
      </c>
      <c r="O328" s="117" t="e">
        <f t="shared" si="27"/>
        <v>#REF!</v>
      </c>
      <c r="P328" s="111" t="e">
        <f t="shared" si="36"/>
        <v>#REF!</v>
      </c>
      <c r="Q328" s="112" t="e">
        <f t="shared" si="37"/>
        <v>#REF!</v>
      </c>
      <c r="R328" s="113" t="e">
        <f>#REF!</f>
        <v>#REF!</v>
      </c>
    </row>
    <row r="329" spans="1:18" s="105" customFormat="1" ht="15" customHeight="1">
      <c r="A329" s="101"/>
      <c r="B329" s="107" t="s">
        <v>894</v>
      </c>
      <c r="C329" s="280" t="s">
        <v>461</v>
      </c>
      <c r="D329" s="281"/>
      <c r="E329" s="281"/>
      <c r="F329" s="281"/>
      <c r="G329" s="281"/>
      <c r="H329" s="281"/>
      <c r="I329" s="281"/>
      <c r="J329" s="281"/>
      <c r="K329" s="282"/>
      <c r="L329" s="108">
        <v>20</v>
      </c>
      <c r="M329" s="109" t="s">
        <v>140</v>
      </c>
      <c r="N329" s="40">
        <v>0.79</v>
      </c>
      <c r="O329" s="117" t="e">
        <f>(1+$Q$3)</f>
        <v>#REF!</v>
      </c>
      <c r="P329" s="111" t="e">
        <f t="shared" si="36"/>
        <v>#REF!</v>
      </c>
      <c r="Q329" s="112" t="e">
        <f t="shared" si="37"/>
        <v>#REF!</v>
      </c>
      <c r="R329" s="113">
        <v>83726</v>
      </c>
    </row>
    <row r="330" spans="1:18" s="105" customFormat="1" ht="15" customHeight="1">
      <c r="A330" s="101"/>
      <c r="B330" s="107" t="s">
        <v>895</v>
      </c>
      <c r="C330" s="279" t="s">
        <v>949</v>
      </c>
      <c r="D330" s="278"/>
      <c r="E330" s="278"/>
      <c r="F330" s="278"/>
      <c r="G330" s="278"/>
      <c r="H330" s="278"/>
      <c r="I330" s="278"/>
      <c r="J330" s="278"/>
      <c r="K330" s="278"/>
      <c r="L330" s="108">
        <v>1</v>
      </c>
      <c r="M330" s="109" t="s">
        <v>111</v>
      </c>
      <c r="N330" s="40" t="e">
        <f>#REF!</f>
        <v>#REF!</v>
      </c>
      <c r="O330" s="117" t="e">
        <f t="shared" si="27"/>
        <v>#REF!</v>
      </c>
      <c r="P330" s="111" t="e">
        <f t="shared" si="36"/>
        <v>#REF!</v>
      </c>
      <c r="Q330" s="112" t="e">
        <f t="shared" si="37"/>
        <v>#REF!</v>
      </c>
      <c r="R330" s="113" t="e">
        <f>#REF!</f>
        <v>#REF!</v>
      </c>
    </row>
    <row r="331" spans="1:18" s="105" customFormat="1" ht="15" customHeight="1">
      <c r="A331" s="101"/>
      <c r="B331" s="107" t="s">
        <v>896</v>
      </c>
      <c r="C331" s="280" t="s">
        <v>461</v>
      </c>
      <c r="D331" s="281"/>
      <c r="E331" s="281"/>
      <c r="F331" s="281"/>
      <c r="G331" s="281"/>
      <c r="H331" s="281"/>
      <c r="I331" s="281"/>
      <c r="J331" s="281"/>
      <c r="K331" s="282"/>
      <c r="L331" s="108">
        <v>1604</v>
      </c>
      <c r="M331" s="109" t="s">
        <v>140</v>
      </c>
      <c r="N331" s="40">
        <v>0.79</v>
      </c>
      <c r="O331" s="117" t="e">
        <f aca="true" t="shared" si="39" ref="O331:O370">(1+$Q$3)</f>
        <v>#REF!</v>
      </c>
      <c r="P331" s="111" t="e">
        <f t="shared" si="36"/>
        <v>#REF!</v>
      </c>
      <c r="Q331" s="112" t="e">
        <f t="shared" si="37"/>
        <v>#REF!</v>
      </c>
      <c r="R331" s="113">
        <v>83726</v>
      </c>
    </row>
    <row r="332" spans="1:18" s="105" customFormat="1" ht="15" customHeight="1">
      <c r="A332" s="101"/>
      <c r="B332" s="107" t="s">
        <v>897</v>
      </c>
      <c r="C332" s="279" t="s">
        <v>301</v>
      </c>
      <c r="D332" s="278"/>
      <c r="E332" s="278"/>
      <c r="F332" s="278"/>
      <c r="G332" s="278"/>
      <c r="H332" s="278"/>
      <c r="I332" s="278"/>
      <c r="J332" s="278"/>
      <c r="K332" s="278"/>
      <c r="L332" s="108">
        <v>3</v>
      </c>
      <c r="M332" s="109" t="s">
        <v>111</v>
      </c>
      <c r="N332" s="40" t="e">
        <f>#REF!</f>
        <v>#REF!</v>
      </c>
      <c r="O332" s="117" t="e">
        <f t="shared" si="27"/>
        <v>#REF!</v>
      </c>
      <c r="P332" s="111" t="e">
        <f t="shared" si="36"/>
        <v>#REF!</v>
      </c>
      <c r="Q332" s="112" t="e">
        <f t="shared" si="37"/>
        <v>#REF!</v>
      </c>
      <c r="R332" s="113" t="e">
        <f>#REF!</f>
        <v>#REF!</v>
      </c>
    </row>
    <row r="333" spans="1:18" s="105" customFormat="1" ht="15" customHeight="1">
      <c r="A333" s="101"/>
      <c r="B333" s="107" t="s">
        <v>898</v>
      </c>
      <c r="C333" s="280" t="s">
        <v>461</v>
      </c>
      <c r="D333" s="281"/>
      <c r="E333" s="281"/>
      <c r="F333" s="281"/>
      <c r="G333" s="281"/>
      <c r="H333" s="281"/>
      <c r="I333" s="281"/>
      <c r="J333" s="281"/>
      <c r="K333" s="282"/>
      <c r="L333" s="108">
        <v>52</v>
      </c>
      <c r="M333" s="109" t="s">
        <v>140</v>
      </c>
      <c r="N333" s="40">
        <v>0.79</v>
      </c>
      <c r="O333" s="117" t="e">
        <f t="shared" si="39"/>
        <v>#REF!</v>
      </c>
      <c r="P333" s="111" t="e">
        <f t="shared" si="36"/>
        <v>#REF!</v>
      </c>
      <c r="Q333" s="112" t="e">
        <f t="shared" si="37"/>
        <v>#REF!</v>
      </c>
      <c r="R333" s="113">
        <v>83726</v>
      </c>
    </row>
    <row r="334" spans="1:18" s="105" customFormat="1" ht="15" customHeight="1">
      <c r="A334" s="101"/>
      <c r="B334" s="107" t="s">
        <v>899</v>
      </c>
      <c r="C334" s="279" t="s">
        <v>699</v>
      </c>
      <c r="D334" s="278"/>
      <c r="E334" s="278"/>
      <c r="F334" s="278"/>
      <c r="G334" s="278"/>
      <c r="H334" s="278"/>
      <c r="I334" s="278"/>
      <c r="J334" s="278"/>
      <c r="K334" s="278"/>
      <c r="L334" s="108">
        <v>3</v>
      </c>
      <c r="M334" s="109" t="s">
        <v>111</v>
      </c>
      <c r="N334" s="40" t="e">
        <f>#REF!</f>
        <v>#REF!</v>
      </c>
      <c r="O334" s="117" t="e">
        <f t="shared" si="27"/>
        <v>#REF!</v>
      </c>
      <c r="P334" s="111" t="e">
        <f t="shared" si="36"/>
        <v>#REF!</v>
      </c>
      <c r="Q334" s="112" t="e">
        <f t="shared" si="37"/>
        <v>#REF!</v>
      </c>
      <c r="R334" s="130" t="e">
        <f>#REF!</f>
        <v>#REF!</v>
      </c>
    </row>
    <row r="335" spans="1:18" s="105" customFormat="1" ht="15" customHeight="1">
      <c r="A335" s="101"/>
      <c r="B335" s="107" t="s">
        <v>900</v>
      </c>
      <c r="C335" s="280" t="s">
        <v>461</v>
      </c>
      <c r="D335" s="281"/>
      <c r="E335" s="281"/>
      <c r="F335" s="281"/>
      <c r="G335" s="281"/>
      <c r="H335" s="281"/>
      <c r="I335" s="281"/>
      <c r="J335" s="281"/>
      <c r="K335" s="282"/>
      <c r="L335" s="108">
        <v>290</v>
      </c>
      <c r="M335" s="109" t="s">
        <v>140</v>
      </c>
      <c r="N335" s="40">
        <v>0.79</v>
      </c>
      <c r="O335" s="117" t="e">
        <f t="shared" si="39"/>
        <v>#REF!</v>
      </c>
      <c r="P335" s="111" t="e">
        <f t="shared" si="36"/>
        <v>#REF!</v>
      </c>
      <c r="Q335" s="112" t="e">
        <f t="shared" si="37"/>
        <v>#REF!</v>
      </c>
      <c r="R335" s="130">
        <v>83725</v>
      </c>
    </row>
    <row r="336" spans="1:18" s="105" customFormat="1" ht="15" customHeight="1">
      <c r="A336" s="101"/>
      <c r="B336" s="107" t="s">
        <v>901</v>
      </c>
      <c r="C336" s="279" t="s">
        <v>743</v>
      </c>
      <c r="D336" s="278"/>
      <c r="E336" s="278"/>
      <c r="F336" s="278"/>
      <c r="G336" s="278"/>
      <c r="H336" s="278"/>
      <c r="I336" s="278"/>
      <c r="J336" s="278"/>
      <c r="K336" s="278"/>
      <c r="L336" s="108">
        <v>1</v>
      </c>
      <c r="M336" s="109" t="s">
        <v>111</v>
      </c>
      <c r="N336" s="40" t="e">
        <f>#REF!</f>
        <v>#REF!</v>
      </c>
      <c r="O336" s="117" t="e">
        <f t="shared" si="27"/>
        <v>#REF!</v>
      </c>
      <c r="P336" s="111" t="e">
        <f aca="true" t="shared" si="40" ref="P336:P368">ROUND(N336*O336,2)</f>
        <v>#REF!</v>
      </c>
      <c r="Q336" s="112" t="e">
        <f aca="true" t="shared" si="41" ref="Q336:Q368">ROUND(L336*P336,2)</f>
        <v>#REF!</v>
      </c>
      <c r="R336" s="130" t="e">
        <f>#REF!</f>
        <v>#REF!</v>
      </c>
    </row>
    <row r="337" spans="1:18" s="105" customFormat="1" ht="15" customHeight="1">
      <c r="A337" s="101"/>
      <c r="B337" s="107" t="s">
        <v>902</v>
      </c>
      <c r="C337" s="280" t="s">
        <v>461</v>
      </c>
      <c r="D337" s="281"/>
      <c r="E337" s="281"/>
      <c r="F337" s="281"/>
      <c r="G337" s="281"/>
      <c r="H337" s="281"/>
      <c r="I337" s="281"/>
      <c r="J337" s="281"/>
      <c r="K337" s="282"/>
      <c r="L337" s="108">
        <v>290</v>
      </c>
      <c r="M337" s="109" t="s">
        <v>140</v>
      </c>
      <c r="N337" s="40">
        <v>0.79</v>
      </c>
      <c r="O337" s="117" t="e">
        <f t="shared" si="39"/>
        <v>#REF!</v>
      </c>
      <c r="P337" s="111" t="e">
        <f t="shared" si="40"/>
        <v>#REF!</v>
      </c>
      <c r="Q337" s="112" t="e">
        <f t="shared" si="41"/>
        <v>#REF!</v>
      </c>
      <c r="R337" s="130">
        <v>83725</v>
      </c>
    </row>
    <row r="338" spans="1:18" s="105" customFormat="1" ht="15" customHeight="1">
      <c r="A338" s="101"/>
      <c r="B338" s="107" t="s">
        <v>903</v>
      </c>
      <c r="C338" s="279" t="s">
        <v>744</v>
      </c>
      <c r="D338" s="278"/>
      <c r="E338" s="278"/>
      <c r="F338" s="278"/>
      <c r="G338" s="278"/>
      <c r="H338" s="278"/>
      <c r="I338" s="278"/>
      <c r="J338" s="278"/>
      <c r="K338" s="278"/>
      <c r="L338" s="108">
        <v>2</v>
      </c>
      <c r="M338" s="109" t="s">
        <v>111</v>
      </c>
      <c r="N338" s="40" t="e">
        <f>#REF!</f>
        <v>#REF!</v>
      </c>
      <c r="O338" s="117" t="e">
        <f t="shared" si="27"/>
        <v>#REF!</v>
      </c>
      <c r="P338" s="111" t="e">
        <f t="shared" si="40"/>
        <v>#REF!</v>
      </c>
      <c r="Q338" s="112" t="e">
        <f t="shared" si="41"/>
        <v>#REF!</v>
      </c>
      <c r="R338" s="130" t="e">
        <f>#REF!</f>
        <v>#REF!</v>
      </c>
    </row>
    <row r="339" spans="1:18" s="105" customFormat="1" ht="15" customHeight="1">
      <c r="A339" s="101"/>
      <c r="B339" s="107" t="s">
        <v>904</v>
      </c>
      <c r="C339" s="280" t="s">
        <v>461</v>
      </c>
      <c r="D339" s="281"/>
      <c r="E339" s="281"/>
      <c r="F339" s="281"/>
      <c r="G339" s="281"/>
      <c r="H339" s="281"/>
      <c r="I339" s="281"/>
      <c r="J339" s="281"/>
      <c r="K339" s="282"/>
      <c r="L339" s="108">
        <v>20</v>
      </c>
      <c r="M339" s="109" t="s">
        <v>140</v>
      </c>
      <c r="N339" s="40">
        <v>1.29</v>
      </c>
      <c r="O339" s="117" t="e">
        <f t="shared" si="39"/>
        <v>#REF!</v>
      </c>
      <c r="P339" s="111" t="e">
        <f t="shared" si="40"/>
        <v>#REF!</v>
      </c>
      <c r="Q339" s="112" t="e">
        <f t="shared" si="41"/>
        <v>#REF!</v>
      </c>
      <c r="R339" s="130">
        <v>83724</v>
      </c>
    </row>
    <row r="340" spans="1:18" s="105" customFormat="1" ht="15" customHeight="1">
      <c r="A340" s="101"/>
      <c r="B340" s="107" t="s">
        <v>905</v>
      </c>
      <c r="C340" s="279" t="s">
        <v>745</v>
      </c>
      <c r="D340" s="278"/>
      <c r="E340" s="278"/>
      <c r="F340" s="278"/>
      <c r="G340" s="278"/>
      <c r="H340" s="278"/>
      <c r="I340" s="278"/>
      <c r="J340" s="278"/>
      <c r="K340" s="278"/>
      <c r="L340" s="108">
        <v>3</v>
      </c>
      <c r="M340" s="109" t="s">
        <v>111</v>
      </c>
      <c r="N340" s="40" t="e">
        <f>#REF!</f>
        <v>#REF!</v>
      </c>
      <c r="O340" s="117" t="e">
        <f t="shared" si="27"/>
        <v>#REF!</v>
      </c>
      <c r="P340" s="111" t="e">
        <f t="shared" si="40"/>
        <v>#REF!</v>
      </c>
      <c r="Q340" s="112" t="e">
        <f t="shared" si="41"/>
        <v>#REF!</v>
      </c>
      <c r="R340" s="130" t="e">
        <f>#REF!</f>
        <v>#REF!</v>
      </c>
    </row>
    <row r="341" spans="1:18" s="105" customFormat="1" ht="15" customHeight="1">
      <c r="A341" s="101"/>
      <c r="B341" s="107" t="s">
        <v>906</v>
      </c>
      <c r="C341" s="280" t="s">
        <v>461</v>
      </c>
      <c r="D341" s="281"/>
      <c r="E341" s="281"/>
      <c r="F341" s="281"/>
      <c r="G341" s="281"/>
      <c r="H341" s="281"/>
      <c r="I341" s="281"/>
      <c r="J341" s="281"/>
      <c r="K341" s="282"/>
      <c r="L341" s="108">
        <v>155</v>
      </c>
      <c r="M341" s="109" t="s">
        <v>140</v>
      </c>
      <c r="N341" s="40">
        <v>1.29</v>
      </c>
      <c r="O341" s="117" t="e">
        <f t="shared" si="39"/>
        <v>#REF!</v>
      </c>
      <c r="P341" s="111" t="e">
        <f t="shared" si="40"/>
        <v>#REF!</v>
      </c>
      <c r="Q341" s="112" t="e">
        <f t="shared" si="41"/>
        <v>#REF!</v>
      </c>
      <c r="R341" s="130">
        <v>83724</v>
      </c>
    </row>
    <row r="342" spans="1:18" s="105" customFormat="1" ht="15" customHeight="1">
      <c r="A342" s="101"/>
      <c r="B342" s="107" t="s">
        <v>907</v>
      </c>
      <c r="C342" s="279" t="s">
        <v>746</v>
      </c>
      <c r="D342" s="278"/>
      <c r="E342" s="278"/>
      <c r="F342" s="278"/>
      <c r="G342" s="278"/>
      <c r="H342" s="278"/>
      <c r="I342" s="278"/>
      <c r="J342" s="278"/>
      <c r="K342" s="278"/>
      <c r="L342" s="108">
        <v>6</v>
      </c>
      <c r="M342" s="109" t="s">
        <v>111</v>
      </c>
      <c r="N342" s="40" t="e">
        <f>#REF!</f>
        <v>#REF!</v>
      </c>
      <c r="O342" s="117" t="e">
        <f t="shared" si="27"/>
        <v>#REF!</v>
      </c>
      <c r="P342" s="111" t="e">
        <f t="shared" si="40"/>
        <v>#REF!</v>
      </c>
      <c r="Q342" s="112" t="e">
        <f t="shared" si="41"/>
        <v>#REF!</v>
      </c>
      <c r="R342" s="130" t="e">
        <f>#REF!</f>
        <v>#REF!</v>
      </c>
    </row>
    <row r="343" spans="1:18" s="105" customFormat="1" ht="15" customHeight="1">
      <c r="A343" s="101"/>
      <c r="B343" s="107" t="s">
        <v>908</v>
      </c>
      <c r="C343" s="280" t="s">
        <v>461</v>
      </c>
      <c r="D343" s="281"/>
      <c r="E343" s="281"/>
      <c r="F343" s="281"/>
      <c r="G343" s="281"/>
      <c r="H343" s="281"/>
      <c r="I343" s="281"/>
      <c r="J343" s="281"/>
      <c r="K343" s="282"/>
      <c r="L343" s="108">
        <f>(16)*L342</f>
        <v>96</v>
      </c>
      <c r="M343" s="109" t="s">
        <v>140</v>
      </c>
      <c r="N343" s="40">
        <v>1.29</v>
      </c>
      <c r="O343" s="117" t="e">
        <f t="shared" si="39"/>
        <v>#REF!</v>
      </c>
      <c r="P343" s="111" t="e">
        <f t="shared" si="40"/>
        <v>#REF!</v>
      </c>
      <c r="Q343" s="112" t="e">
        <f t="shared" si="41"/>
        <v>#REF!</v>
      </c>
      <c r="R343" s="130">
        <v>83724</v>
      </c>
    </row>
    <row r="344" spans="1:18" s="105" customFormat="1" ht="15" customHeight="1">
      <c r="A344" s="101"/>
      <c r="B344" s="107" t="s">
        <v>909</v>
      </c>
      <c r="C344" s="279" t="s">
        <v>747</v>
      </c>
      <c r="D344" s="278"/>
      <c r="E344" s="278"/>
      <c r="F344" s="278"/>
      <c r="G344" s="278"/>
      <c r="H344" s="278"/>
      <c r="I344" s="278"/>
      <c r="J344" s="278"/>
      <c r="K344" s="278"/>
      <c r="L344" s="108">
        <v>3</v>
      </c>
      <c r="M344" s="109" t="s">
        <v>111</v>
      </c>
      <c r="N344" s="40" t="e">
        <f>#REF!</f>
        <v>#REF!</v>
      </c>
      <c r="O344" s="117" t="e">
        <f t="shared" si="27"/>
        <v>#REF!</v>
      </c>
      <c r="P344" s="111" t="e">
        <f t="shared" si="40"/>
        <v>#REF!</v>
      </c>
      <c r="Q344" s="112" t="e">
        <f t="shared" si="41"/>
        <v>#REF!</v>
      </c>
      <c r="R344" s="130" t="e">
        <f>#REF!</f>
        <v>#REF!</v>
      </c>
    </row>
    <row r="345" spans="1:18" s="105" customFormat="1" ht="15" customHeight="1">
      <c r="A345" s="101"/>
      <c r="B345" s="107" t="s">
        <v>910</v>
      </c>
      <c r="C345" s="280" t="s">
        <v>461</v>
      </c>
      <c r="D345" s="281"/>
      <c r="E345" s="281"/>
      <c r="F345" s="281"/>
      <c r="G345" s="281"/>
      <c r="H345" s="281"/>
      <c r="I345" s="281"/>
      <c r="J345" s="281"/>
      <c r="K345" s="282"/>
      <c r="L345" s="108">
        <v>15</v>
      </c>
      <c r="M345" s="109" t="s">
        <v>140</v>
      </c>
      <c r="N345" s="40">
        <v>1.29</v>
      </c>
      <c r="O345" s="117" t="e">
        <f t="shared" si="39"/>
        <v>#REF!</v>
      </c>
      <c r="P345" s="111" t="e">
        <f t="shared" si="40"/>
        <v>#REF!</v>
      </c>
      <c r="Q345" s="112" t="e">
        <f t="shared" si="41"/>
        <v>#REF!</v>
      </c>
      <c r="R345" s="130">
        <v>83724</v>
      </c>
    </row>
    <row r="346" spans="1:18" s="105" customFormat="1" ht="15" customHeight="1">
      <c r="A346" s="101"/>
      <c r="B346" s="107" t="s">
        <v>911</v>
      </c>
      <c r="C346" s="279" t="s">
        <v>749</v>
      </c>
      <c r="D346" s="278"/>
      <c r="E346" s="278"/>
      <c r="F346" s="278"/>
      <c r="G346" s="278"/>
      <c r="H346" s="278"/>
      <c r="I346" s="278"/>
      <c r="J346" s="278"/>
      <c r="K346" s="278"/>
      <c r="L346" s="108">
        <v>1</v>
      </c>
      <c r="M346" s="109" t="s">
        <v>111</v>
      </c>
      <c r="N346" s="40" t="e">
        <f>#REF!</f>
        <v>#REF!</v>
      </c>
      <c r="O346" s="117" t="e">
        <f t="shared" si="27"/>
        <v>#REF!</v>
      </c>
      <c r="P346" s="111" t="e">
        <f t="shared" si="40"/>
        <v>#REF!</v>
      </c>
      <c r="Q346" s="112" t="e">
        <f t="shared" si="41"/>
        <v>#REF!</v>
      </c>
      <c r="R346" s="130" t="e">
        <f>#REF!</f>
        <v>#REF!</v>
      </c>
    </row>
    <row r="347" spans="1:18" s="105" customFormat="1" ht="15" customHeight="1">
      <c r="A347" s="101"/>
      <c r="B347" s="107" t="s">
        <v>912</v>
      </c>
      <c r="C347" s="280" t="s">
        <v>461</v>
      </c>
      <c r="D347" s="281"/>
      <c r="E347" s="281"/>
      <c r="F347" s="281"/>
      <c r="G347" s="281"/>
      <c r="H347" s="281"/>
      <c r="I347" s="281"/>
      <c r="J347" s="281"/>
      <c r="K347" s="282"/>
      <c r="L347" s="108">
        <v>26</v>
      </c>
      <c r="M347" s="109" t="s">
        <v>140</v>
      </c>
      <c r="N347" s="40">
        <v>1.29</v>
      </c>
      <c r="O347" s="117" t="e">
        <f t="shared" si="39"/>
        <v>#REF!</v>
      </c>
      <c r="P347" s="111" t="e">
        <f t="shared" si="40"/>
        <v>#REF!</v>
      </c>
      <c r="Q347" s="112" t="e">
        <f t="shared" si="41"/>
        <v>#REF!</v>
      </c>
      <c r="R347" s="130">
        <v>83724</v>
      </c>
    </row>
    <row r="348" spans="1:18" s="105" customFormat="1" ht="15" customHeight="1">
      <c r="A348" s="101"/>
      <c r="B348" s="107" t="s">
        <v>913</v>
      </c>
      <c r="C348" s="279" t="s">
        <v>752</v>
      </c>
      <c r="D348" s="278"/>
      <c r="E348" s="278"/>
      <c r="F348" s="278"/>
      <c r="G348" s="278"/>
      <c r="H348" s="278"/>
      <c r="I348" s="278"/>
      <c r="J348" s="278"/>
      <c r="K348" s="278"/>
      <c r="L348" s="108">
        <v>3</v>
      </c>
      <c r="M348" s="109" t="s">
        <v>111</v>
      </c>
      <c r="N348" s="40" t="e">
        <f>#REF!</f>
        <v>#REF!</v>
      </c>
      <c r="O348" s="117" t="e">
        <f t="shared" si="27"/>
        <v>#REF!</v>
      </c>
      <c r="P348" s="111" t="e">
        <f t="shared" si="40"/>
        <v>#REF!</v>
      </c>
      <c r="Q348" s="112" t="e">
        <f t="shared" si="41"/>
        <v>#REF!</v>
      </c>
      <c r="R348" s="130" t="e">
        <f>#REF!</f>
        <v>#REF!</v>
      </c>
    </row>
    <row r="349" spans="1:18" s="105" customFormat="1" ht="15" customHeight="1">
      <c r="A349" s="101"/>
      <c r="B349" s="107" t="s">
        <v>914</v>
      </c>
      <c r="C349" s="280" t="s">
        <v>461</v>
      </c>
      <c r="D349" s="281"/>
      <c r="E349" s="281"/>
      <c r="F349" s="281"/>
      <c r="G349" s="281"/>
      <c r="H349" s="281"/>
      <c r="I349" s="281"/>
      <c r="J349" s="281"/>
      <c r="K349" s="282"/>
      <c r="L349" s="108">
        <v>370</v>
      </c>
      <c r="M349" s="109" t="s">
        <v>140</v>
      </c>
      <c r="N349" s="40">
        <v>1.29</v>
      </c>
      <c r="O349" s="117" t="e">
        <f t="shared" si="39"/>
        <v>#REF!</v>
      </c>
      <c r="P349" s="111" t="e">
        <f t="shared" si="40"/>
        <v>#REF!</v>
      </c>
      <c r="Q349" s="112" t="e">
        <f t="shared" si="41"/>
        <v>#REF!</v>
      </c>
      <c r="R349" s="130">
        <v>83724</v>
      </c>
    </row>
    <row r="350" spans="1:18" s="105" customFormat="1" ht="15" customHeight="1">
      <c r="A350" s="101"/>
      <c r="B350" s="107" t="s">
        <v>915</v>
      </c>
      <c r="C350" s="279" t="s">
        <v>755</v>
      </c>
      <c r="D350" s="278"/>
      <c r="E350" s="278"/>
      <c r="F350" s="278"/>
      <c r="G350" s="278"/>
      <c r="H350" s="278"/>
      <c r="I350" s="278"/>
      <c r="J350" s="278"/>
      <c r="K350" s="278"/>
      <c r="L350" s="108">
        <v>1</v>
      </c>
      <c r="M350" s="109" t="s">
        <v>111</v>
      </c>
      <c r="N350" s="40" t="e">
        <f>#REF!</f>
        <v>#REF!</v>
      </c>
      <c r="O350" s="117" t="e">
        <f t="shared" si="27"/>
        <v>#REF!</v>
      </c>
      <c r="P350" s="111" t="e">
        <f t="shared" si="40"/>
        <v>#REF!</v>
      </c>
      <c r="Q350" s="112" t="e">
        <f t="shared" si="41"/>
        <v>#REF!</v>
      </c>
      <c r="R350" s="130" t="e">
        <f>#REF!</f>
        <v>#REF!</v>
      </c>
    </row>
    <row r="351" spans="1:18" s="105" customFormat="1" ht="15" customHeight="1">
      <c r="A351" s="101"/>
      <c r="B351" s="107" t="s">
        <v>916</v>
      </c>
      <c r="C351" s="280" t="s">
        <v>461</v>
      </c>
      <c r="D351" s="281"/>
      <c r="E351" s="281"/>
      <c r="F351" s="281"/>
      <c r="G351" s="281"/>
      <c r="H351" s="281"/>
      <c r="I351" s="281"/>
      <c r="J351" s="281"/>
      <c r="K351" s="282"/>
      <c r="L351" s="108">
        <v>846</v>
      </c>
      <c r="M351" s="109" t="s">
        <v>140</v>
      </c>
      <c r="N351" s="40">
        <v>0.79</v>
      </c>
      <c r="O351" s="117" t="e">
        <f t="shared" si="39"/>
        <v>#REF!</v>
      </c>
      <c r="P351" s="111" t="e">
        <f t="shared" si="40"/>
        <v>#REF!</v>
      </c>
      <c r="Q351" s="112" t="e">
        <f t="shared" si="41"/>
        <v>#REF!</v>
      </c>
      <c r="R351" s="130">
        <v>83725</v>
      </c>
    </row>
    <row r="352" spans="1:18" s="105" customFormat="1" ht="15" customHeight="1">
      <c r="A352" s="101"/>
      <c r="B352" s="107" t="s">
        <v>917</v>
      </c>
      <c r="C352" s="279" t="s">
        <v>758</v>
      </c>
      <c r="D352" s="278"/>
      <c r="E352" s="278"/>
      <c r="F352" s="278"/>
      <c r="G352" s="278"/>
      <c r="H352" s="278"/>
      <c r="I352" s="278"/>
      <c r="J352" s="278"/>
      <c r="K352" s="278"/>
      <c r="L352" s="108">
        <v>3</v>
      </c>
      <c r="M352" s="109" t="s">
        <v>111</v>
      </c>
      <c r="N352" s="40" t="e">
        <f>#REF!</f>
        <v>#REF!</v>
      </c>
      <c r="O352" s="117" t="e">
        <f t="shared" si="27"/>
        <v>#REF!</v>
      </c>
      <c r="P352" s="111" t="e">
        <f t="shared" si="40"/>
        <v>#REF!</v>
      </c>
      <c r="Q352" s="112" t="e">
        <f t="shared" si="41"/>
        <v>#REF!</v>
      </c>
      <c r="R352" s="130" t="e">
        <f>#REF!</f>
        <v>#REF!</v>
      </c>
    </row>
    <row r="353" spans="1:18" s="105" customFormat="1" ht="15" customHeight="1">
      <c r="A353" s="101"/>
      <c r="B353" s="107" t="s">
        <v>918</v>
      </c>
      <c r="C353" s="280" t="s">
        <v>461</v>
      </c>
      <c r="D353" s="281"/>
      <c r="E353" s="281"/>
      <c r="F353" s="281"/>
      <c r="G353" s="281"/>
      <c r="H353" s="281"/>
      <c r="I353" s="281"/>
      <c r="J353" s="281"/>
      <c r="K353" s="282"/>
      <c r="L353" s="108">
        <v>1692</v>
      </c>
      <c r="M353" s="109" t="s">
        <v>140</v>
      </c>
      <c r="N353" s="40">
        <v>0.79</v>
      </c>
      <c r="O353" s="117" t="e">
        <f t="shared" si="39"/>
        <v>#REF!</v>
      </c>
      <c r="P353" s="111" t="e">
        <f t="shared" si="40"/>
        <v>#REF!</v>
      </c>
      <c r="Q353" s="112" t="e">
        <f t="shared" si="41"/>
        <v>#REF!</v>
      </c>
      <c r="R353" s="130">
        <v>83725</v>
      </c>
    </row>
    <row r="354" spans="1:18" s="135" customFormat="1" ht="15" customHeight="1">
      <c r="A354" s="143"/>
      <c r="B354" s="212" t="s">
        <v>919</v>
      </c>
      <c r="C354" s="283" t="s">
        <v>948</v>
      </c>
      <c r="D354" s="284"/>
      <c r="E354" s="284"/>
      <c r="F354" s="284"/>
      <c r="G354" s="284"/>
      <c r="H354" s="284"/>
      <c r="I354" s="284"/>
      <c r="J354" s="284"/>
      <c r="K354" s="284"/>
      <c r="L354" s="118">
        <v>1</v>
      </c>
      <c r="M354" s="119" t="s">
        <v>111</v>
      </c>
      <c r="N354" s="182" t="e">
        <f>#REF!</f>
        <v>#REF!</v>
      </c>
      <c r="O354" s="124" t="e">
        <f t="shared" si="27"/>
        <v>#REF!</v>
      </c>
      <c r="P354" s="125" t="e">
        <f t="shared" si="40"/>
        <v>#REF!</v>
      </c>
      <c r="Q354" s="120" t="e">
        <f t="shared" si="41"/>
        <v>#REF!</v>
      </c>
      <c r="R354" s="213" t="e">
        <f>#REF!</f>
        <v>#REF!</v>
      </c>
    </row>
    <row r="355" spans="1:18" s="105" customFormat="1" ht="15" customHeight="1">
      <c r="A355" s="101"/>
      <c r="B355" s="107" t="s">
        <v>920</v>
      </c>
      <c r="C355" s="280" t="s">
        <v>461</v>
      </c>
      <c r="D355" s="281"/>
      <c r="E355" s="281"/>
      <c r="F355" s="281"/>
      <c r="G355" s="281"/>
      <c r="H355" s="281"/>
      <c r="I355" s="281"/>
      <c r="J355" s="281"/>
      <c r="K355" s="282"/>
      <c r="L355" s="108">
        <v>2680</v>
      </c>
      <c r="M355" s="109" t="s">
        <v>140</v>
      </c>
      <c r="N355" s="40">
        <v>0.79</v>
      </c>
      <c r="O355" s="117" t="e">
        <f t="shared" si="39"/>
        <v>#REF!</v>
      </c>
      <c r="P355" s="111" t="e">
        <f t="shared" si="40"/>
        <v>#REF!</v>
      </c>
      <c r="Q355" s="112" t="e">
        <f t="shared" si="41"/>
        <v>#REF!</v>
      </c>
      <c r="R355" s="130">
        <v>83725</v>
      </c>
    </row>
    <row r="356" spans="1:18" s="105" customFormat="1" ht="25.5" customHeight="1">
      <c r="A356" s="101"/>
      <c r="B356" s="107" t="s">
        <v>921</v>
      </c>
      <c r="C356" s="285" t="s">
        <v>993</v>
      </c>
      <c r="D356" s="281"/>
      <c r="E356" s="281"/>
      <c r="F356" s="281"/>
      <c r="G356" s="281"/>
      <c r="H356" s="281"/>
      <c r="I356" s="281"/>
      <c r="J356" s="281"/>
      <c r="K356" s="282"/>
      <c r="L356" s="108">
        <v>2</v>
      </c>
      <c r="M356" s="109" t="s">
        <v>111</v>
      </c>
      <c r="N356" s="40" t="e">
        <f>'Composição Fase I'!H34</f>
        <v>#REF!</v>
      </c>
      <c r="O356" s="117" t="e">
        <f t="shared" si="39"/>
        <v>#REF!</v>
      </c>
      <c r="P356" s="111" t="e">
        <f t="shared" si="40"/>
        <v>#REF!</v>
      </c>
      <c r="Q356" s="112" t="e">
        <f t="shared" si="41"/>
        <v>#REF!</v>
      </c>
      <c r="R356" s="130" t="str">
        <f>'Composição Fase I'!A35</f>
        <v>006</v>
      </c>
    </row>
    <row r="357" spans="1:18" s="105" customFormat="1" ht="15" customHeight="1">
      <c r="A357" s="101"/>
      <c r="B357" s="107" t="s">
        <v>922</v>
      </c>
      <c r="C357" s="285" t="s">
        <v>952</v>
      </c>
      <c r="D357" s="281"/>
      <c r="E357" s="281"/>
      <c r="F357" s="281"/>
      <c r="G357" s="281"/>
      <c r="H357" s="281"/>
      <c r="I357" s="281"/>
      <c r="J357" s="281"/>
      <c r="K357" s="282"/>
      <c r="L357" s="108">
        <v>2</v>
      </c>
      <c r="M357" s="109" t="s">
        <v>111</v>
      </c>
      <c r="N357" s="40" t="e">
        <f>#REF!</f>
        <v>#REF!</v>
      </c>
      <c r="O357" s="117" t="e">
        <f t="shared" si="39"/>
        <v>#REF!</v>
      </c>
      <c r="P357" s="111" t="e">
        <f>ROUND(N357*O357,2)</f>
        <v>#REF!</v>
      </c>
      <c r="Q357" s="112" t="e">
        <f>ROUND(L357*P357,2)</f>
        <v>#REF!</v>
      </c>
      <c r="R357" s="130" t="e">
        <f>#REF!</f>
        <v>#REF!</v>
      </c>
    </row>
    <row r="358" spans="1:18" s="105" customFormat="1" ht="15" customHeight="1">
      <c r="A358" s="101"/>
      <c r="B358" s="107" t="s">
        <v>923</v>
      </c>
      <c r="C358" s="289" t="s">
        <v>560</v>
      </c>
      <c r="D358" s="290"/>
      <c r="E358" s="290"/>
      <c r="F358" s="290"/>
      <c r="G358" s="290"/>
      <c r="H358" s="290"/>
      <c r="I358" s="290"/>
      <c r="J358" s="290"/>
      <c r="K358" s="291"/>
      <c r="L358" s="118">
        <f>ROUND(1.15*2.35*1.3*2,2)</f>
        <v>7.03</v>
      </c>
      <c r="M358" s="119" t="s">
        <v>73</v>
      </c>
      <c r="N358" s="182">
        <f>N19</f>
        <v>66.42</v>
      </c>
      <c r="O358" s="124" t="e">
        <f t="shared" si="39"/>
        <v>#REF!</v>
      </c>
      <c r="P358" s="125" t="e">
        <f t="shared" si="40"/>
        <v>#REF!</v>
      </c>
      <c r="Q358" s="120" t="e">
        <f t="shared" si="41"/>
        <v>#REF!</v>
      </c>
      <c r="R358" s="130">
        <f>R19</f>
        <v>65000198</v>
      </c>
    </row>
    <row r="359" spans="1:18" s="105" customFormat="1" ht="15" customHeight="1">
      <c r="A359" s="101"/>
      <c r="B359" s="107" t="s">
        <v>924</v>
      </c>
      <c r="C359" s="284" t="s">
        <v>561</v>
      </c>
      <c r="D359" s="284"/>
      <c r="E359" s="284"/>
      <c r="F359" s="284"/>
      <c r="G359" s="284"/>
      <c r="H359" s="284"/>
      <c r="I359" s="284"/>
      <c r="J359" s="284"/>
      <c r="K359" s="284"/>
      <c r="L359" s="118">
        <v>9.05</v>
      </c>
      <c r="M359" s="119" t="s">
        <v>73</v>
      </c>
      <c r="N359" s="182">
        <f>262.68</f>
        <v>262.68</v>
      </c>
      <c r="O359" s="124" t="e">
        <f t="shared" si="39"/>
        <v>#REF!</v>
      </c>
      <c r="P359" s="125" t="e">
        <f t="shared" si="40"/>
        <v>#REF!</v>
      </c>
      <c r="Q359" s="120" t="e">
        <f t="shared" si="41"/>
        <v>#REF!</v>
      </c>
      <c r="R359" s="113">
        <v>94964</v>
      </c>
    </row>
    <row r="360" spans="1:18" s="105" customFormat="1" ht="15" customHeight="1">
      <c r="A360" s="101"/>
      <c r="B360" s="107" t="s">
        <v>925</v>
      </c>
      <c r="C360" s="284" t="s">
        <v>562</v>
      </c>
      <c r="D360" s="284"/>
      <c r="E360" s="284"/>
      <c r="F360" s="284"/>
      <c r="G360" s="284"/>
      <c r="H360" s="284"/>
      <c r="I360" s="284"/>
      <c r="J360" s="284"/>
      <c r="K360" s="284"/>
      <c r="L360" s="118">
        <f>L359</f>
        <v>9.05</v>
      </c>
      <c r="M360" s="119" t="s">
        <v>73</v>
      </c>
      <c r="N360" s="182">
        <v>79.75</v>
      </c>
      <c r="O360" s="124" t="e">
        <f t="shared" si="39"/>
        <v>#REF!</v>
      </c>
      <c r="P360" s="125" t="e">
        <f t="shared" si="40"/>
        <v>#REF!</v>
      </c>
      <c r="Q360" s="120" t="e">
        <f t="shared" si="41"/>
        <v>#REF!</v>
      </c>
      <c r="R360" s="113" t="s">
        <v>144</v>
      </c>
    </row>
    <row r="361" spans="1:18" s="105" customFormat="1" ht="15" customHeight="1">
      <c r="A361" s="101"/>
      <c r="B361" s="107" t="s">
        <v>926</v>
      </c>
      <c r="C361" s="284" t="s">
        <v>563</v>
      </c>
      <c r="D361" s="284"/>
      <c r="E361" s="284"/>
      <c r="F361" s="284"/>
      <c r="G361" s="284"/>
      <c r="H361" s="284"/>
      <c r="I361" s="284"/>
      <c r="J361" s="284"/>
      <c r="K361" s="284"/>
      <c r="L361" s="118">
        <v>39.72</v>
      </c>
      <c r="M361" s="119" t="s">
        <v>72</v>
      </c>
      <c r="N361" s="182">
        <v>31.68</v>
      </c>
      <c r="O361" s="124" t="e">
        <f>(1+$Q$3)</f>
        <v>#REF!</v>
      </c>
      <c r="P361" s="125" t="e">
        <f t="shared" si="40"/>
        <v>#REF!</v>
      </c>
      <c r="Q361" s="120" t="e">
        <f t="shared" si="41"/>
        <v>#REF!</v>
      </c>
      <c r="R361" s="113">
        <v>5651</v>
      </c>
    </row>
    <row r="362" spans="1:18" s="105" customFormat="1" ht="15" customHeight="1">
      <c r="A362" s="101"/>
      <c r="B362" s="107" t="s">
        <v>927</v>
      </c>
      <c r="C362" s="284" t="s">
        <v>564</v>
      </c>
      <c r="D362" s="284"/>
      <c r="E362" s="284"/>
      <c r="F362" s="284"/>
      <c r="G362" s="284"/>
      <c r="H362" s="284"/>
      <c r="I362" s="284"/>
      <c r="J362" s="284"/>
      <c r="K362" s="284"/>
      <c r="L362" s="118">
        <v>78.5</v>
      </c>
      <c r="M362" s="119" t="s">
        <v>140</v>
      </c>
      <c r="N362" s="182">
        <v>7.02</v>
      </c>
      <c r="O362" s="124" t="e">
        <f>(1+$Q$3)</f>
        <v>#REF!</v>
      </c>
      <c r="P362" s="125" t="e">
        <f t="shared" si="40"/>
        <v>#REF!</v>
      </c>
      <c r="Q362" s="120" t="e">
        <f t="shared" si="41"/>
        <v>#REF!</v>
      </c>
      <c r="R362" s="113">
        <v>92791</v>
      </c>
    </row>
    <row r="363" spans="1:18" s="105" customFormat="1" ht="15" customHeight="1">
      <c r="A363" s="101"/>
      <c r="B363" s="107" t="s">
        <v>928</v>
      </c>
      <c r="C363" s="284" t="s">
        <v>565</v>
      </c>
      <c r="D363" s="284"/>
      <c r="E363" s="284"/>
      <c r="F363" s="284"/>
      <c r="G363" s="284"/>
      <c r="H363" s="284"/>
      <c r="I363" s="284"/>
      <c r="J363" s="284"/>
      <c r="K363" s="284"/>
      <c r="L363" s="118">
        <v>164.7</v>
      </c>
      <c r="M363" s="119" t="s">
        <v>140</v>
      </c>
      <c r="N363" s="182">
        <v>5.76</v>
      </c>
      <c r="O363" s="124" t="e">
        <f>(1+$Q$3)</f>
        <v>#REF!</v>
      </c>
      <c r="P363" s="125" t="e">
        <f t="shared" si="40"/>
        <v>#REF!</v>
      </c>
      <c r="Q363" s="120" t="e">
        <f t="shared" si="41"/>
        <v>#REF!</v>
      </c>
      <c r="R363" s="130">
        <v>92794</v>
      </c>
    </row>
    <row r="364" spans="1:18" s="105" customFormat="1" ht="15" customHeight="1">
      <c r="A364" s="101"/>
      <c r="B364" s="107" t="s">
        <v>929</v>
      </c>
      <c r="C364" s="284" t="s">
        <v>566</v>
      </c>
      <c r="D364" s="284"/>
      <c r="E364" s="284"/>
      <c r="F364" s="284"/>
      <c r="G364" s="284"/>
      <c r="H364" s="284"/>
      <c r="I364" s="284"/>
      <c r="J364" s="284"/>
      <c r="K364" s="284"/>
      <c r="L364" s="118">
        <v>142.3</v>
      </c>
      <c r="M364" s="119" t="s">
        <v>140</v>
      </c>
      <c r="N364" s="182">
        <v>4.86</v>
      </c>
      <c r="O364" s="124" t="e">
        <f>(1+$Q$3)</f>
        <v>#REF!</v>
      </c>
      <c r="P364" s="125" t="e">
        <f t="shared" si="40"/>
        <v>#REF!</v>
      </c>
      <c r="Q364" s="120" t="e">
        <f t="shared" si="41"/>
        <v>#REF!</v>
      </c>
      <c r="R364" s="130">
        <v>92795</v>
      </c>
    </row>
    <row r="365" spans="1:18" s="105" customFormat="1" ht="12">
      <c r="A365" s="101"/>
      <c r="B365" s="107" t="s">
        <v>930</v>
      </c>
      <c r="C365" s="284" t="s">
        <v>552</v>
      </c>
      <c r="D365" s="284"/>
      <c r="E365" s="284"/>
      <c r="F365" s="284"/>
      <c r="G365" s="284"/>
      <c r="H365" s="284"/>
      <c r="I365" s="284"/>
      <c r="J365" s="284"/>
      <c r="K365" s="284"/>
      <c r="L365" s="118">
        <v>3303.3</v>
      </c>
      <c r="M365" s="119" t="s">
        <v>140</v>
      </c>
      <c r="N365" s="182">
        <v>5.47</v>
      </c>
      <c r="O365" s="124" t="e">
        <f t="shared" si="39"/>
        <v>#REF!</v>
      </c>
      <c r="P365" s="125" t="e">
        <f t="shared" si="40"/>
        <v>#REF!</v>
      </c>
      <c r="Q365" s="120" t="e">
        <f t="shared" si="41"/>
        <v>#REF!</v>
      </c>
      <c r="R365" s="130" t="s">
        <v>553</v>
      </c>
    </row>
    <row r="366" spans="1:18" s="105" customFormat="1" ht="15" customHeight="1">
      <c r="A366" s="101"/>
      <c r="B366" s="107" t="s">
        <v>931</v>
      </c>
      <c r="C366" s="284" t="s">
        <v>554</v>
      </c>
      <c r="D366" s="284"/>
      <c r="E366" s="284"/>
      <c r="F366" s="284"/>
      <c r="G366" s="284"/>
      <c r="H366" s="284"/>
      <c r="I366" s="284"/>
      <c r="J366" s="284"/>
      <c r="K366" s="284"/>
      <c r="L366" s="118">
        <v>1</v>
      </c>
      <c r="M366" s="119" t="s">
        <v>111</v>
      </c>
      <c r="N366" s="182">
        <f>170.1*2*2</f>
        <v>680.4</v>
      </c>
      <c r="O366" s="124" t="e">
        <f t="shared" si="39"/>
        <v>#REF!</v>
      </c>
      <c r="P366" s="125" t="e">
        <f t="shared" si="40"/>
        <v>#REF!</v>
      </c>
      <c r="Q366" s="120" t="e">
        <f t="shared" si="41"/>
        <v>#REF!</v>
      </c>
      <c r="R366" s="130" t="s">
        <v>555</v>
      </c>
    </row>
    <row r="367" spans="1:18" s="105" customFormat="1" ht="15" customHeight="1">
      <c r="A367" s="101"/>
      <c r="B367" s="107" t="s">
        <v>932</v>
      </c>
      <c r="C367" s="284" t="s">
        <v>556</v>
      </c>
      <c r="D367" s="284"/>
      <c r="E367" s="284"/>
      <c r="F367" s="284"/>
      <c r="G367" s="284"/>
      <c r="H367" s="284"/>
      <c r="I367" s="284"/>
      <c r="J367" s="284"/>
      <c r="K367" s="284"/>
      <c r="L367" s="118">
        <f>ROUND(119.768/2918.57*L365,2)</f>
        <v>135.56</v>
      </c>
      <c r="M367" s="119" t="s">
        <v>72</v>
      </c>
      <c r="N367" s="182">
        <v>12.67</v>
      </c>
      <c r="O367" s="124" t="e">
        <f t="shared" si="39"/>
        <v>#REF!</v>
      </c>
      <c r="P367" s="125" t="e">
        <f t="shared" si="40"/>
        <v>#REF!</v>
      </c>
      <c r="Q367" s="120" t="e">
        <f t="shared" si="41"/>
        <v>#REF!</v>
      </c>
      <c r="R367" s="130">
        <v>73656</v>
      </c>
    </row>
    <row r="368" spans="1:18" s="105" customFormat="1" ht="15" customHeight="1">
      <c r="A368" s="101"/>
      <c r="B368" s="107" t="s">
        <v>933</v>
      </c>
      <c r="C368" s="284" t="s">
        <v>558</v>
      </c>
      <c r="D368" s="284"/>
      <c r="E368" s="284"/>
      <c r="F368" s="284"/>
      <c r="G368" s="284"/>
      <c r="H368" s="284"/>
      <c r="I368" s="284"/>
      <c r="J368" s="284"/>
      <c r="K368" s="284"/>
      <c r="L368" s="118">
        <f>L367</f>
        <v>135.56</v>
      </c>
      <c r="M368" s="119" t="s">
        <v>72</v>
      </c>
      <c r="N368" s="182">
        <v>14.82</v>
      </c>
      <c r="O368" s="124" t="e">
        <f t="shared" si="39"/>
        <v>#REF!</v>
      </c>
      <c r="P368" s="125" t="e">
        <f t="shared" si="40"/>
        <v>#REF!</v>
      </c>
      <c r="Q368" s="120" t="e">
        <f t="shared" si="41"/>
        <v>#REF!</v>
      </c>
      <c r="R368" s="130" t="s">
        <v>557</v>
      </c>
    </row>
    <row r="369" spans="1:18" s="105" customFormat="1" ht="15" customHeight="1">
      <c r="A369" s="101"/>
      <c r="B369" s="107" t="s">
        <v>934</v>
      </c>
      <c r="C369" s="284" t="s">
        <v>556</v>
      </c>
      <c r="D369" s="284"/>
      <c r="E369" s="284"/>
      <c r="F369" s="284"/>
      <c r="G369" s="284"/>
      <c r="H369" s="284"/>
      <c r="I369" s="284"/>
      <c r="J369" s="284"/>
      <c r="K369" s="284"/>
      <c r="L369" s="118">
        <f>L367</f>
        <v>135.56</v>
      </c>
      <c r="M369" s="119" t="s">
        <v>72</v>
      </c>
      <c r="N369" s="182">
        <v>19.22</v>
      </c>
      <c r="O369" s="124" t="e">
        <f t="shared" si="39"/>
        <v>#REF!</v>
      </c>
      <c r="P369" s="125" t="e">
        <f>ROUND(N369*O369,2)</f>
        <v>#REF!</v>
      </c>
      <c r="Q369" s="120" t="e">
        <f>ROUND(L369*P369,2)</f>
        <v>#REF!</v>
      </c>
      <c r="R369" s="130" t="s">
        <v>559</v>
      </c>
    </row>
    <row r="370" spans="1:18" s="105" customFormat="1" ht="15" customHeight="1" thickBot="1">
      <c r="A370" s="101"/>
      <c r="B370" s="107" t="s">
        <v>935</v>
      </c>
      <c r="C370" s="275" t="s">
        <v>681</v>
      </c>
      <c r="D370" s="276"/>
      <c r="E370" s="276"/>
      <c r="F370" s="276"/>
      <c r="G370" s="276"/>
      <c r="H370" s="276"/>
      <c r="I370" s="276"/>
      <c r="J370" s="276"/>
      <c r="K370" s="276"/>
      <c r="L370" s="118">
        <f>18/2</f>
        <v>9</v>
      </c>
      <c r="M370" s="127" t="s">
        <v>679</v>
      </c>
      <c r="N370" s="207">
        <v>395.44</v>
      </c>
      <c r="O370" s="124" t="e">
        <f t="shared" si="39"/>
        <v>#REF!</v>
      </c>
      <c r="P370" s="125" t="e">
        <f>ROUND(N370*O370,2)</f>
        <v>#REF!</v>
      </c>
      <c r="Q370" s="120" t="e">
        <f>ROUND(L370*P370,2)</f>
        <v>#REF!</v>
      </c>
      <c r="R370" s="211" t="s">
        <v>680</v>
      </c>
    </row>
    <row r="371" spans="1:19" s="116" customFormat="1" ht="15" customHeight="1" thickBot="1">
      <c r="A371" s="101"/>
      <c r="B371" s="131">
        <v>4</v>
      </c>
      <c r="C371" s="268" t="s">
        <v>177</v>
      </c>
      <c r="D371" s="269"/>
      <c r="E371" s="269"/>
      <c r="F371" s="269"/>
      <c r="G371" s="269"/>
      <c r="H371" s="269"/>
      <c r="I371" s="269"/>
      <c r="J371" s="269"/>
      <c r="K371" s="269"/>
      <c r="L371" s="269"/>
      <c r="M371" s="269"/>
      <c r="N371" s="269"/>
      <c r="O371" s="269"/>
      <c r="P371" s="269"/>
      <c r="Q371" s="103" t="e">
        <f>SUM(Q372:Q458)</f>
        <v>#REF!</v>
      </c>
      <c r="R371" s="113"/>
      <c r="S371" s="105"/>
    </row>
    <row r="372" spans="1:18" s="105" customFormat="1" ht="15" customHeight="1">
      <c r="A372" s="101"/>
      <c r="B372" s="107" t="s">
        <v>79</v>
      </c>
      <c r="C372" s="278" t="s">
        <v>227</v>
      </c>
      <c r="D372" s="278"/>
      <c r="E372" s="278"/>
      <c r="F372" s="278"/>
      <c r="G372" s="278"/>
      <c r="H372" s="278"/>
      <c r="I372" s="278"/>
      <c r="J372" s="278"/>
      <c r="K372" s="278"/>
      <c r="L372" s="108">
        <f>5.6*5+1.33+5.8*3+1.8+2.59+2.39+0.75+1.7+2.22+0.25+1.01+0.87+0.8</f>
        <v>61.109999999999985</v>
      </c>
      <c r="M372" s="109" t="s">
        <v>78</v>
      </c>
      <c r="N372" s="40">
        <v>1.59</v>
      </c>
      <c r="O372" s="117" t="e">
        <f aca="true" t="shared" si="42" ref="O372:O384">(1+$Q$3)</f>
        <v>#REF!</v>
      </c>
      <c r="P372" s="111" t="e">
        <f>ROUND(N372*O372,2)</f>
        <v>#REF!</v>
      </c>
      <c r="Q372" s="112" t="e">
        <f>ROUND(L372*P372,2)</f>
        <v>#REF!</v>
      </c>
      <c r="R372" s="113">
        <v>73679</v>
      </c>
    </row>
    <row r="373" spans="1:18" s="105" customFormat="1" ht="24.75" customHeight="1">
      <c r="A373" s="101"/>
      <c r="B373" s="107" t="s">
        <v>80</v>
      </c>
      <c r="C373" s="278" t="s">
        <v>123</v>
      </c>
      <c r="D373" s="278"/>
      <c r="E373" s="278"/>
      <c r="F373" s="278"/>
      <c r="G373" s="278"/>
      <c r="H373" s="278"/>
      <c r="I373" s="278"/>
      <c r="J373" s="278"/>
      <c r="K373" s="278"/>
      <c r="L373" s="108">
        <f>29.62</f>
        <v>29.62</v>
      </c>
      <c r="M373" s="109" t="s">
        <v>72</v>
      </c>
      <c r="N373" s="40">
        <v>0.46</v>
      </c>
      <c r="O373" s="117" t="e">
        <f t="shared" si="42"/>
        <v>#REF!</v>
      </c>
      <c r="P373" s="111" t="e">
        <f>ROUND(N373*O373,2)</f>
        <v>#REF!</v>
      </c>
      <c r="Q373" s="112" t="e">
        <f>ROUND(L373*P373,2)</f>
        <v>#REF!</v>
      </c>
      <c r="R373" s="113" t="s">
        <v>119</v>
      </c>
    </row>
    <row r="374" spans="1:18" s="105" customFormat="1" ht="15" customHeight="1">
      <c r="A374" s="101"/>
      <c r="B374" s="107" t="s">
        <v>81</v>
      </c>
      <c r="C374" s="278" t="s">
        <v>781</v>
      </c>
      <c r="D374" s="278"/>
      <c r="E374" s="278"/>
      <c r="F374" s="278"/>
      <c r="G374" s="278"/>
      <c r="H374" s="278"/>
      <c r="I374" s="278"/>
      <c r="J374" s="278"/>
      <c r="K374" s="278"/>
      <c r="L374" s="108">
        <f>201.18*0.08</f>
        <v>16.0944</v>
      </c>
      <c r="M374" s="109" t="s">
        <v>73</v>
      </c>
      <c r="N374" s="40">
        <v>172.32</v>
      </c>
      <c r="O374" s="117" t="e">
        <f t="shared" si="42"/>
        <v>#REF!</v>
      </c>
      <c r="P374" s="111" t="e">
        <f>ROUND(N374*O374,2)</f>
        <v>#REF!</v>
      </c>
      <c r="Q374" s="112" t="e">
        <f>ROUND(L374*P374,2)</f>
        <v>#REF!</v>
      </c>
      <c r="R374" s="113">
        <v>73616</v>
      </c>
    </row>
    <row r="375" spans="1:18" s="105" customFormat="1" ht="15" customHeight="1">
      <c r="A375" s="101"/>
      <c r="B375" s="107" t="s">
        <v>82</v>
      </c>
      <c r="C375" s="278" t="s">
        <v>784</v>
      </c>
      <c r="D375" s="278"/>
      <c r="E375" s="278"/>
      <c r="F375" s="278"/>
      <c r="G375" s="278"/>
      <c r="H375" s="278"/>
      <c r="I375" s="278"/>
      <c r="J375" s="278"/>
      <c r="K375" s="278"/>
      <c r="L375" s="108">
        <f>L372*2+L378</f>
        <v>219.54999999999995</v>
      </c>
      <c r="M375" s="109" t="s">
        <v>72</v>
      </c>
      <c r="N375" s="40">
        <v>1.83</v>
      </c>
      <c r="O375" s="117" t="e">
        <f t="shared" si="42"/>
        <v>#REF!</v>
      </c>
      <c r="P375" s="111" t="e">
        <f aca="true" t="shared" si="43" ref="P375:P443">ROUND(N375*O375,2)</f>
        <v>#REF!</v>
      </c>
      <c r="Q375" s="112" t="e">
        <f aca="true" t="shared" si="44" ref="Q375:Q443">ROUND(L375*P375,2)</f>
        <v>#REF!</v>
      </c>
      <c r="R375" s="113">
        <v>94099</v>
      </c>
    </row>
    <row r="376" spans="1:18" s="105" customFormat="1" ht="15" customHeight="1">
      <c r="A376" s="101"/>
      <c r="B376" s="107" t="s">
        <v>113</v>
      </c>
      <c r="C376" s="278" t="s">
        <v>128</v>
      </c>
      <c r="D376" s="278"/>
      <c r="E376" s="278"/>
      <c r="F376" s="278"/>
      <c r="G376" s="278"/>
      <c r="H376" s="278"/>
      <c r="I376" s="278"/>
      <c r="J376" s="278"/>
      <c r="K376" s="278"/>
      <c r="L376" s="108">
        <f>1*1.4*L372-PI()*0.7^2/4*L372</f>
        <v>62.03611593504313</v>
      </c>
      <c r="M376" s="109" t="s">
        <v>73</v>
      </c>
      <c r="N376" s="40">
        <v>34.92</v>
      </c>
      <c r="O376" s="117" t="e">
        <f t="shared" si="42"/>
        <v>#REF!</v>
      </c>
      <c r="P376" s="111" t="e">
        <f t="shared" si="43"/>
        <v>#REF!</v>
      </c>
      <c r="Q376" s="112" t="e">
        <f t="shared" si="44"/>
        <v>#REF!</v>
      </c>
      <c r="R376" s="113" t="s">
        <v>120</v>
      </c>
    </row>
    <row r="377" spans="1:18" s="105" customFormat="1" ht="15" customHeight="1">
      <c r="A377" s="101"/>
      <c r="B377" s="107" t="s">
        <v>114</v>
      </c>
      <c r="C377" s="278" t="s">
        <v>107</v>
      </c>
      <c r="D377" s="278"/>
      <c r="E377" s="278"/>
      <c r="F377" s="278"/>
      <c r="G377" s="278"/>
      <c r="H377" s="278"/>
      <c r="I377" s="278"/>
      <c r="J377" s="278"/>
      <c r="K377" s="278"/>
      <c r="L377" s="108">
        <f>1*1.4*L372</f>
        <v>85.55399999999997</v>
      </c>
      <c r="M377" s="109" t="s">
        <v>73</v>
      </c>
      <c r="N377" s="40">
        <v>17.69</v>
      </c>
      <c r="O377" s="117" t="e">
        <f t="shared" si="42"/>
        <v>#REF!</v>
      </c>
      <c r="P377" s="111" t="e">
        <f t="shared" si="43"/>
        <v>#REF!</v>
      </c>
      <c r="Q377" s="112" t="e">
        <f t="shared" si="44"/>
        <v>#REF!</v>
      </c>
      <c r="R377" s="113">
        <v>93382</v>
      </c>
    </row>
    <row r="378" spans="1:18" s="105" customFormat="1" ht="15" customHeight="1">
      <c r="A378" s="101"/>
      <c r="B378" s="107" t="s">
        <v>115</v>
      </c>
      <c r="C378" s="278" t="s">
        <v>61</v>
      </c>
      <c r="D378" s="278"/>
      <c r="E378" s="278"/>
      <c r="F378" s="278"/>
      <c r="G378" s="278"/>
      <c r="H378" s="278"/>
      <c r="I378" s="278"/>
      <c r="J378" s="278"/>
      <c r="K378" s="278"/>
      <c r="L378" s="108">
        <v>97.33</v>
      </c>
      <c r="M378" s="109" t="s">
        <v>72</v>
      </c>
      <c r="N378" s="40">
        <v>4.66</v>
      </c>
      <c r="O378" s="117" t="e">
        <f>(1+$Q$3)</f>
        <v>#REF!</v>
      </c>
      <c r="P378" s="111" t="e">
        <f t="shared" si="43"/>
        <v>#REF!</v>
      </c>
      <c r="Q378" s="112" t="e">
        <f t="shared" si="44"/>
        <v>#REF!</v>
      </c>
      <c r="R378" s="113" t="s">
        <v>235</v>
      </c>
    </row>
    <row r="379" spans="1:18" s="105" customFormat="1" ht="15" customHeight="1">
      <c r="A379" s="123"/>
      <c r="B379" s="107" t="s">
        <v>116</v>
      </c>
      <c r="C379" s="278" t="s">
        <v>143</v>
      </c>
      <c r="D379" s="278"/>
      <c r="E379" s="278"/>
      <c r="F379" s="278"/>
      <c r="G379" s="278"/>
      <c r="H379" s="278"/>
      <c r="I379" s="278"/>
      <c r="J379" s="278"/>
      <c r="K379" s="278"/>
      <c r="L379" s="108">
        <f>230.26*1.65-L374</f>
        <v>363.83459999999997</v>
      </c>
      <c r="M379" s="109" t="s">
        <v>73</v>
      </c>
      <c r="N379" s="40">
        <v>46.04</v>
      </c>
      <c r="O379" s="117" t="e">
        <f>(1+$Q$3)</f>
        <v>#REF!</v>
      </c>
      <c r="P379" s="111" t="e">
        <f t="shared" si="43"/>
        <v>#REF!</v>
      </c>
      <c r="Q379" s="112" t="e">
        <f t="shared" si="44"/>
        <v>#REF!</v>
      </c>
      <c r="R379" s="113">
        <v>93358</v>
      </c>
    </row>
    <row r="380" spans="1:18" s="105" customFormat="1" ht="15" customHeight="1">
      <c r="A380" s="101"/>
      <c r="B380" s="107" t="s">
        <v>117</v>
      </c>
      <c r="C380" s="278" t="s">
        <v>56</v>
      </c>
      <c r="D380" s="278"/>
      <c r="E380" s="278"/>
      <c r="F380" s="278"/>
      <c r="G380" s="278"/>
      <c r="H380" s="278"/>
      <c r="I380" s="278"/>
      <c r="J380" s="278"/>
      <c r="K380" s="278"/>
      <c r="L380" s="108">
        <f>82.96*1.65</f>
        <v>136.884</v>
      </c>
      <c r="M380" s="109" t="s">
        <v>72</v>
      </c>
      <c r="N380" s="40">
        <v>32.6</v>
      </c>
      <c r="O380" s="117" t="e">
        <f>(1+$Q$3)</f>
        <v>#REF!</v>
      </c>
      <c r="P380" s="111" t="e">
        <f t="shared" si="43"/>
        <v>#REF!</v>
      </c>
      <c r="Q380" s="112" t="e">
        <f t="shared" si="44"/>
        <v>#REF!</v>
      </c>
      <c r="R380" s="113" t="s">
        <v>124</v>
      </c>
    </row>
    <row r="381" spans="1:18" s="122" customFormat="1" ht="15" customHeight="1">
      <c r="A381" s="121"/>
      <c r="B381" s="107" t="s">
        <v>118</v>
      </c>
      <c r="C381" s="278" t="s">
        <v>186</v>
      </c>
      <c r="D381" s="278"/>
      <c r="E381" s="278"/>
      <c r="F381" s="278"/>
      <c r="G381" s="278"/>
      <c r="H381" s="278"/>
      <c r="I381" s="278"/>
      <c r="J381" s="278"/>
      <c r="K381" s="278"/>
      <c r="L381" s="108">
        <v>25.98</v>
      </c>
      <c r="M381" s="109" t="s">
        <v>73</v>
      </c>
      <c r="N381" s="40">
        <v>264.39</v>
      </c>
      <c r="O381" s="117" t="e">
        <f t="shared" si="42"/>
        <v>#REF!</v>
      </c>
      <c r="P381" s="111" t="e">
        <f t="shared" si="43"/>
        <v>#REF!</v>
      </c>
      <c r="Q381" s="112" t="e">
        <f t="shared" si="44"/>
        <v>#REF!</v>
      </c>
      <c r="R381" s="113">
        <v>94971</v>
      </c>
    </row>
    <row r="382" spans="1:18" s="122" customFormat="1" ht="15" customHeight="1">
      <c r="A382" s="121"/>
      <c r="B382" s="107" t="s">
        <v>169</v>
      </c>
      <c r="C382" s="278" t="s">
        <v>187</v>
      </c>
      <c r="D382" s="278"/>
      <c r="E382" s="278"/>
      <c r="F382" s="278"/>
      <c r="G382" s="278"/>
      <c r="H382" s="278"/>
      <c r="I382" s="278"/>
      <c r="J382" s="278"/>
      <c r="K382" s="278"/>
      <c r="L382" s="108">
        <f>L381</f>
        <v>25.98</v>
      </c>
      <c r="M382" s="109" t="s">
        <v>73</v>
      </c>
      <c r="N382" s="40">
        <v>79.75</v>
      </c>
      <c r="O382" s="117" t="e">
        <f t="shared" si="42"/>
        <v>#REF!</v>
      </c>
      <c r="P382" s="111" t="e">
        <f t="shared" si="43"/>
        <v>#REF!</v>
      </c>
      <c r="Q382" s="112" t="e">
        <f t="shared" si="44"/>
        <v>#REF!</v>
      </c>
      <c r="R382" s="113" t="s">
        <v>144</v>
      </c>
    </row>
    <row r="383" spans="1:18" s="122" customFormat="1" ht="15" customHeight="1">
      <c r="A383" s="121"/>
      <c r="B383" s="107" t="s">
        <v>170</v>
      </c>
      <c r="C383" s="278" t="s">
        <v>193</v>
      </c>
      <c r="D383" s="278"/>
      <c r="E383" s="278"/>
      <c r="F383" s="278"/>
      <c r="G383" s="278"/>
      <c r="H383" s="278"/>
      <c r="I383" s="278"/>
      <c r="J383" s="278"/>
      <c r="K383" s="278"/>
      <c r="L383" s="108">
        <v>248.03</v>
      </c>
      <c r="M383" s="109" t="s">
        <v>72</v>
      </c>
      <c r="N383" s="40">
        <v>31.68</v>
      </c>
      <c r="O383" s="117" t="e">
        <f>(1+$Q$3)</f>
        <v>#REF!</v>
      </c>
      <c r="P383" s="111" t="e">
        <f t="shared" si="43"/>
        <v>#REF!</v>
      </c>
      <c r="Q383" s="112" t="e">
        <f t="shared" si="44"/>
        <v>#REF!</v>
      </c>
      <c r="R383" s="113">
        <v>5651</v>
      </c>
    </row>
    <row r="384" spans="1:18" s="122" customFormat="1" ht="15" customHeight="1">
      <c r="A384" s="121"/>
      <c r="B384" s="107" t="s">
        <v>171</v>
      </c>
      <c r="C384" s="278" t="s">
        <v>783</v>
      </c>
      <c r="D384" s="278"/>
      <c r="E384" s="278"/>
      <c r="F384" s="278"/>
      <c r="G384" s="278"/>
      <c r="H384" s="278"/>
      <c r="I384" s="278"/>
      <c r="J384" s="278"/>
      <c r="K384" s="278"/>
      <c r="L384" s="108">
        <f>L379-(151.6*1.65)</f>
        <v>113.69459999999998</v>
      </c>
      <c r="M384" s="109" t="s">
        <v>73</v>
      </c>
      <c r="N384" s="40">
        <v>34.92</v>
      </c>
      <c r="O384" s="117" t="e">
        <f t="shared" si="42"/>
        <v>#REF!</v>
      </c>
      <c r="P384" s="111" t="e">
        <f>ROUND(N384*O384,2)</f>
        <v>#REF!</v>
      </c>
      <c r="Q384" s="112" t="e">
        <f>ROUND(L384*P384,2)</f>
        <v>#REF!</v>
      </c>
      <c r="R384" s="113" t="s">
        <v>120</v>
      </c>
    </row>
    <row r="385" spans="1:18" s="105" customFormat="1" ht="15" customHeight="1">
      <c r="A385" s="101"/>
      <c r="B385" s="107" t="s">
        <v>211</v>
      </c>
      <c r="C385" s="278" t="s">
        <v>773</v>
      </c>
      <c r="D385" s="278"/>
      <c r="E385" s="278"/>
      <c r="F385" s="278"/>
      <c r="G385" s="278"/>
      <c r="H385" s="278"/>
      <c r="I385" s="278"/>
      <c r="J385" s="278"/>
      <c r="K385" s="278"/>
      <c r="L385" s="108">
        <f>1.2</f>
        <v>1.2</v>
      </c>
      <c r="M385" s="109" t="s">
        <v>140</v>
      </c>
      <c r="N385" s="40">
        <v>7.02</v>
      </c>
      <c r="O385" s="117" t="e">
        <f aca="true" t="shared" si="45" ref="O385:O393">(1+$Q$3)</f>
        <v>#REF!</v>
      </c>
      <c r="P385" s="111" t="e">
        <f t="shared" si="43"/>
        <v>#REF!</v>
      </c>
      <c r="Q385" s="112" t="e">
        <f t="shared" si="44"/>
        <v>#REF!</v>
      </c>
      <c r="R385" s="113">
        <v>92791</v>
      </c>
    </row>
    <row r="386" spans="1:18" s="105" customFormat="1" ht="15" customHeight="1">
      <c r="A386" s="101"/>
      <c r="B386" s="107" t="s">
        <v>212</v>
      </c>
      <c r="C386" s="278" t="s">
        <v>769</v>
      </c>
      <c r="D386" s="278"/>
      <c r="E386" s="278"/>
      <c r="F386" s="278"/>
      <c r="G386" s="278"/>
      <c r="H386" s="278"/>
      <c r="I386" s="278"/>
      <c r="J386" s="278"/>
      <c r="K386" s="278"/>
      <c r="L386" s="108">
        <f>175.9+923.04</f>
        <v>1098.94</v>
      </c>
      <c r="M386" s="109" t="s">
        <v>140</v>
      </c>
      <c r="N386" s="40">
        <v>6.84</v>
      </c>
      <c r="O386" s="117" t="e">
        <f t="shared" si="45"/>
        <v>#REF!</v>
      </c>
      <c r="P386" s="111" t="e">
        <f t="shared" si="43"/>
        <v>#REF!</v>
      </c>
      <c r="Q386" s="112" t="e">
        <f t="shared" si="44"/>
        <v>#REF!</v>
      </c>
      <c r="R386" s="113">
        <v>92792</v>
      </c>
    </row>
    <row r="387" spans="1:18" s="105" customFormat="1" ht="15" customHeight="1">
      <c r="A387" s="101"/>
      <c r="B387" s="107" t="s">
        <v>213</v>
      </c>
      <c r="C387" s="278" t="s">
        <v>770</v>
      </c>
      <c r="D387" s="278"/>
      <c r="E387" s="278"/>
      <c r="F387" s="278"/>
      <c r="G387" s="278"/>
      <c r="H387" s="278"/>
      <c r="I387" s="278"/>
      <c r="J387" s="278"/>
      <c r="K387" s="278"/>
      <c r="L387" s="108">
        <f>9.06+7.8</f>
        <v>16.86</v>
      </c>
      <c r="M387" s="109" t="s">
        <v>140</v>
      </c>
      <c r="N387" s="40">
        <v>7</v>
      </c>
      <c r="O387" s="117" t="e">
        <f t="shared" si="45"/>
        <v>#REF!</v>
      </c>
      <c r="P387" s="111" t="e">
        <f t="shared" si="43"/>
        <v>#REF!</v>
      </c>
      <c r="Q387" s="112" t="e">
        <f t="shared" si="44"/>
        <v>#REF!</v>
      </c>
      <c r="R387" s="113">
        <v>92793</v>
      </c>
    </row>
    <row r="388" spans="1:18" s="105" customFormat="1" ht="15" customHeight="1">
      <c r="A388" s="101"/>
      <c r="B388" s="107" t="s">
        <v>214</v>
      </c>
      <c r="C388" s="278" t="s">
        <v>771</v>
      </c>
      <c r="D388" s="278"/>
      <c r="E388" s="278"/>
      <c r="F388" s="278"/>
      <c r="G388" s="278"/>
      <c r="H388" s="278"/>
      <c r="I388" s="278"/>
      <c r="J388" s="278"/>
      <c r="K388" s="278"/>
      <c r="L388" s="108">
        <f>67.44+876.2</f>
        <v>943.6400000000001</v>
      </c>
      <c r="M388" s="109" t="s">
        <v>140</v>
      </c>
      <c r="N388" s="40">
        <v>5.76</v>
      </c>
      <c r="O388" s="117" t="e">
        <f t="shared" si="45"/>
        <v>#REF!</v>
      </c>
      <c r="P388" s="111" t="e">
        <f t="shared" si="43"/>
        <v>#REF!</v>
      </c>
      <c r="Q388" s="112" t="e">
        <f t="shared" si="44"/>
        <v>#REF!</v>
      </c>
      <c r="R388" s="113">
        <v>92794</v>
      </c>
    </row>
    <row r="389" spans="1:18" s="105" customFormat="1" ht="15" customHeight="1">
      <c r="A389" s="101"/>
      <c r="B389" s="107" t="s">
        <v>344</v>
      </c>
      <c r="C389" s="278" t="s">
        <v>772</v>
      </c>
      <c r="D389" s="278"/>
      <c r="E389" s="278"/>
      <c r="F389" s="278"/>
      <c r="G389" s="278"/>
      <c r="H389" s="278"/>
      <c r="I389" s="278"/>
      <c r="J389" s="278"/>
      <c r="K389" s="278"/>
      <c r="L389" s="108">
        <f>63.5+109.5</f>
        <v>173</v>
      </c>
      <c r="M389" s="109" t="s">
        <v>140</v>
      </c>
      <c r="N389" s="40">
        <v>4.86</v>
      </c>
      <c r="O389" s="117" t="e">
        <f t="shared" si="45"/>
        <v>#REF!</v>
      </c>
      <c r="P389" s="111" t="e">
        <f t="shared" si="43"/>
        <v>#REF!</v>
      </c>
      <c r="Q389" s="112" t="e">
        <f t="shared" si="44"/>
        <v>#REF!</v>
      </c>
      <c r="R389" s="113">
        <v>92795</v>
      </c>
    </row>
    <row r="390" spans="1:18" s="105" customFormat="1" ht="15" customHeight="1">
      <c r="A390" s="101"/>
      <c r="B390" s="107" t="s">
        <v>345</v>
      </c>
      <c r="C390" s="278" t="s">
        <v>775</v>
      </c>
      <c r="D390" s="278"/>
      <c r="E390" s="278"/>
      <c r="F390" s="278"/>
      <c r="G390" s="278"/>
      <c r="H390" s="278"/>
      <c r="I390" s="278"/>
      <c r="J390" s="278"/>
      <c r="K390" s="278"/>
      <c r="L390" s="108">
        <f>62.96+217.7</f>
        <v>280.65999999999997</v>
      </c>
      <c r="M390" s="109" t="s">
        <v>140</v>
      </c>
      <c r="N390" s="40">
        <v>4.91</v>
      </c>
      <c r="O390" s="117" t="e">
        <f t="shared" si="45"/>
        <v>#REF!</v>
      </c>
      <c r="P390" s="111" t="e">
        <f t="shared" si="43"/>
        <v>#REF!</v>
      </c>
      <c r="Q390" s="112" t="e">
        <f t="shared" si="44"/>
        <v>#REF!</v>
      </c>
      <c r="R390" s="113">
        <v>92801</v>
      </c>
    </row>
    <row r="391" spans="1:18" s="105" customFormat="1" ht="15" customHeight="1">
      <c r="A391" s="101"/>
      <c r="B391" s="107" t="s">
        <v>346</v>
      </c>
      <c r="C391" s="278" t="s">
        <v>776</v>
      </c>
      <c r="D391" s="278"/>
      <c r="E391" s="278"/>
      <c r="F391" s="278"/>
      <c r="G391" s="278"/>
      <c r="H391" s="278"/>
      <c r="I391" s="278"/>
      <c r="J391" s="278"/>
      <c r="K391" s="278"/>
      <c r="L391" s="108">
        <f>42.34+276.8</f>
        <v>319.14</v>
      </c>
      <c r="M391" s="109" t="s">
        <v>140</v>
      </c>
      <c r="N391" s="40">
        <v>5.17</v>
      </c>
      <c r="O391" s="117" t="e">
        <f t="shared" si="45"/>
        <v>#REF!</v>
      </c>
      <c r="P391" s="111" t="e">
        <f t="shared" si="43"/>
        <v>#REF!</v>
      </c>
      <c r="Q391" s="112" t="e">
        <f t="shared" si="44"/>
        <v>#REF!</v>
      </c>
      <c r="R391" s="113">
        <v>92802</v>
      </c>
    </row>
    <row r="392" spans="1:18" s="105" customFormat="1" ht="15" customHeight="1">
      <c r="A392" s="101"/>
      <c r="B392" s="107" t="s">
        <v>347</v>
      </c>
      <c r="C392" s="278" t="s">
        <v>778</v>
      </c>
      <c r="D392" s="278"/>
      <c r="E392" s="278"/>
      <c r="F392" s="278"/>
      <c r="G392" s="278"/>
      <c r="H392" s="278"/>
      <c r="I392" s="278"/>
      <c r="J392" s="278"/>
      <c r="K392" s="278"/>
      <c r="L392" s="108">
        <f>60.76+86.6</f>
        <v>147.35999999999999</v>
      </c>
      <c r="M392" s="109" t="s">
        <v>140</v>
      </c>
      <c r="N392" s="40">
        <v>4.22</v>
      </c>
      <c r="O392" s="117" t="e">
        <f t="shared" si="45"/>
        <v>#REF!</v>
      </c>
      <c r="P392" s="111" t="e">
        <f t="shared" si="43"/>
        <v>#REF!</v>
      </c>
      <c r="Q392" s="112" t="e">
        <f t="shared" si="44"/>
        <v>#REF!</v>
      </c>
      <c r="R392" s="113">
        <v>92803</v>
      </c>
    </row>
    <row r="393" spans="1:18" s="105" customFormat="1" ht="24.75" customHeight="1">
      <c r="A393" s="101"/>
      <c r="B393" s="107" t="s">
        <v>348</v>
      </c>
      <c r="C393" s="278" t="s">
        <v>782</v>
      </c>
      <c r="D393" s="278"/>
      <c r="E393" s="278"/>
      <c r="F393" s="278"/>
      <c r="G393" s="278"/>
      <c r="H393" s="278"/>
      <c r="I393" s="278"/>
      <c r="J393" s="278"/>
      <c r="K393" s="278"/>
      <c r="L393" s="108">
        <f>64.87</f>
        <v>64.87</v>
      </c>
      <c r="M393" s="109" t="s">
        <v>72</v>
      </c>
      <c r="N393" s="40">
        <v>59.31</v>
      </c>
      <c r="O393" s="117" t="e">
        <f t="shared" si="45"/>
        <v>#REF!</v>
      </c>
      <c r="P393" s="111" t="e">
        <f>ROUND(N393*O393,2)</f>
        <v>#REF!</v>
      </c>
      <c r="Q393" s="112" t="e">
        <f>ROUND(L393*P393,2)</f>
        <v>#REF!</v>
      </c>
      <c r="R393" s="113">
        <v>94994</v>
      </c>
    </row>
    <row r="394" spans="1:18" s="105" customFormat="1" ht="15" customHeight="1">
      <c r="A394" s="101"/>
      <c r="B394" s="107" t="s">
        <v>349</v>
      </c>
      <c r="C394" s="285" t="s">
        <v>469</v>
      </c>
      <c r="D394" s="281"/>
      <c r="E394" s="281"/>
      <c r="F394" s="281"/>
      <c r="G394" s="281"/>
      <c r="H394" s="281"/>
      <c r="I394" s="281"/>
      <c r="J394" s="281"/>
      <c r="K394" s="282"/>
      <c r="L394" s="108">
        <v>5</v>
      </c>
      <c r="M394" s="109" t="s">
        <v>111</v>
      </c>
      <c r="N394" s="40" t="e">
        <f>#REF!</f>
        <v>#REF!</v>
      </c>
      <c r="O394" s="117" t="e">
        <f>(1+$N$3)</f>
        <v>#REF!</v>
      </c>
      <c r="P394" s="111" t="e">
        <f t="shared" si="43"/>
        <v>#REF!</v>
      </c>
      <c r="Q394" s="112" t="e">
        <f t="shared" si="44"/>
        <v>#REF!</v>
      </c>
      <c r="R394" s="113" t="e">
        <f>#REF!</f>
        <v>#REF!</v>
      </c>
    </row>
    <row r="395" spans="1:18" s="105" customFormat="1" ht="15" customHeight="1">
      <c r="A395" s="101"/>
      <c r="B395" s="107" t="s">
        <v>350</v>
      </c>
      <c r="C395" s="280" t="s">
        <v>462</v>
      </c>
      <c r="D395" s="281"/>
      <c r="E395" s="281"/>
      <c r="F395" s="281"/>
      <c r="G395" s="281"/>
      <c r="H395" s="281"/>
      <c r="I395" s="281"/>
      <c r="J395" s="281"/>
      <c r="K395" s="282"/>
      <c r="L395" s="108">
        <f>L394*5.6</f>
        <v>28</v>
      </c>
      <c r="M395" s="109" t="s">
        <v>78</v>
      </c>
      <c r="N395" s="40">
        <v>13.99</v>
      </c>
      <c r="O395" s="117" t="e">
        <f>(1+$Q$3)</f>
        <v>#REF!</v>
      </c>
      <c r="P395" s="111" t="e">
        <f t="shared" si="43"/>
        <v>#REF!</v>
      </c>
      <c r="Q395" s="112" t="e">
        <f t="shared" si="44"/>
        <v>#REF!</v>
      </c>
      <c r="R395" s="113" t="s">
        <v>467</v>
      </c>
    </row>
    <row r="396" spans="1:18" s="105" customFormat="1" ht="15" customHeight="1">
      <c r="A396" s="101"/>
      <c r="B396" s="107" t="s">
        <v>351</v>
      </c>
      <c r="C396" s="285" t="s">
        <v>567</v>
      </c>
      <c r="D396" s="281"/>
      <c r="E396" s="281"/>
      <c r="F396" s="281"/>
      <c r="G396" s="281"/>
      <c r="H396" s="281"/>
      <c r="I396" s="281"/>
      <c r="J396" s="281"/>
      <c r="K396" s="282"/>
      <c r="L396" s="108">
        <v>1</v>
      </c>
      <c r="M396" s="109" t="s">
        <v>111</v>
      </c>
      <c r="N396" s="40" t="e">
        <f>#REF!</f>
        <v>#REF!</v>
      </c>
      <c r="O396" s="117" t="e">
        <f>(1+$N$3)</f>
        <v>#REF!</v>
      </c>
      <c r="P396" s="111" t="e">
        <f t="shared" si="43"/>
        <v>#REF!</v>
      </c>
      <c r="Q396" s="112" t="e">
        <f t="shared" si="44"/>
        <v>#REF!</v>
      </c>
      <c r="R396" s="113" t="e">
        <f>#REF!</f>
        <v>#REF!</v>
      </c>
    </row>
    <row r="397" spans="1:18" s="105" customFormat="1" ht="15" customHeight="1">
      <c r="A397" s="101"/>
      <c r="B397" s="107" t="s">
        <v>352</v>
      </c>
      <c r="C397" s="280" t="s">
        <v>462</v>
      </c>
      <c r="D397" s="281"/>
      <c r="E397" s="281"/>
      <c r="F397" s="281"/>
      <c r="G397" s="281"/>
      <c r="H397" s="281"/>
      <c r="I397" s="281"/>
      <c r="J397" s="281"/>
      <c r="K397" s="282"/>
      <c r="L397" s="108">
        <f>L396*1.33</f>
        <v>1.33</v>
      </c>
      <c r="M397" s="109" t="s">
        <v>78</v>
      </c>
      <c r="N397" s="40">
        <v>15.46</v>
      </c>
      <c r="O397" s="117" t="e">
        <f>(1+$Q$3)</f>
        <v>#REF!</v>
      </c>
      <c r="P397" s="111" t="e">
        <f t="shared" si="43"/>
        <v>#REF!</v>
      </c>
      <c r="Q397" s="112" t="e">
        <f t="shared" si="44"/>
        <v>#REF!</v>
      </c>
      <c r="R397" s="113" t="s">
        <v>466</v>
      </c>
    </row>
    <row r="398" spans="1:18" s="105" customFormat="1" ht="15" customHeight="1">
      <c r="A398" s="101"/>
      <c r="B398" s="107" t="s">
        <v>353</v>
      </c>
      <c r="C398" s="285" t="s">
        <v>568</v>
      </c>
      <c r="D398" s="281"/>
      <c r="E398" s="281"/>
      <c r="F398" s="281"/>
      <c r="G398" s="281"/>
      <c r="H398" s="281"/>
      <c r="I398" s="281"/>
      <c r="J398" s="281"/>
      <c r="K398" s="282"/>
      <c r="L398" s="108">
        <v>3</v>
      </c>
      <c r="M398" s="109" t="s">
        <v>111</v>
      </c>
      <c r="N398" s="40" t="e">
        <f>#REF!</f>
        <v>#REF!</v>
      </c>
      <c r="O398" s="117" t="e">
        <f>(1+$N$3)</f>
        <v>#REF!</v>
      </c>
      <c r="P398" s="111" t="e">
        <f t="shared" si="43"/>
        <v>#REF!</v>
      </c>
      <c r="Q398" s="112" t="e">
        <f t="shared" si="44"/>
        <v>#REF!</v>
      </c>
      <c r="R398" s="113" t="e">
        <f>#REF!</f>
        <v>#REF!</v>
      </c>
    </row>
    <row r="399" spans="1:18" s="105" customFormat="1" ht="15" customHeight="1">
      <c r="A399" s="101"/>
      <c r="B399" s="107" t="s">
        <v>354</v>
      </c>
      <c r="C399" s="280" t="s">
        <v>462</v>
      </c>
      <c r="D399" s="281"/>
      <c r="E399" s="281"/>
      <c r="F399" s="281"/>
      <c r="G399" s="281"/>
      <c r="H399" s="281"/>
      <c r="I399" s="281"/>
      <c r="J399" s="281"/>
      <c r="K399" s="282"/>
      <c r="L399" s="108">
        <f>L398*5.8</f>
        <v>17.4</v>
      </c>
      <c r="M399" s="109" t="s">
        <v>78</v>
      </c>
      <c r="N399" s="40">
        <v>15.46</v>
      </c>
      <c r="O399" s="117" t="e">
        <f>(1+$Q$3)</f>
        <v>#REF!</v>
      </c>
      <c r="P399" s="111" t="e">
        <f t="shared" si="43"/>
        <v>#REF!</v>
      </c>
      <c r="Q399" s="112" t="e">
        <f t="shared" si="44"/>
        <v>#REF!</v>
      </c>
      <c r="R399" s="113" t="s">
        <v>466</v>
      </c>
    </row>
    <row r="400" spans="1:18" s="105" customFormat="1" ht="15" customHeight="1">
      <c r="A400" s="101"/>
      <c r="B400" s="107" t="s">
        <v>355</v>
      </c>
      <c r="C400" s="285" t="s">
        <v>569</v>
      </c>
      <c r="D400" s="281"/>
      <c r="E400" s="281"/>
      <c r="F400" s="281"/>
      <c r="G400" s="281"/>
      <c r="H400" s="281"/>
      <c r="I400" s="281"/>
      <c r="J400" s="281"/>
      <c r="K400" s="282"/>
      <c r="L400" s="108">
        <v>1</v>
      </c>
      <c r="M400" s="109" t="s">
        <v>111</v>
      </c>
      <c r="N400" s="40" t="e">
        <f>#REF!</f>
        <v>#REF!</v>
      </c>
      <c r="O400" s="117" t="e">
        <f>(1+$N$3)</f>
        <v>#REF!</v>
      </c>
      <c r="P400" s="111" t="e">
        <f t="shared" si="43"/>
        <v>#REF!</v>
      </c>
      <c r="Q400" s="112" t="e">
        <f t="shared" si="44"/>
        <v>#REF!</v>
      </c>
      <c r="R400" s="113" t="e">
        <f>#REF!</f>
        <v>#REF!</v>
      </c>
    </row>
    <row r="401" spans="1:18" s="105" customFormat="1" ht="15" customHeight="1">
      <c r="A401" s="101"/>
      <c r="B401" s="107" t="s">
        <v>356</v>
      </c>
      <c r="C401" s="280" t="s">
        <v>462</v>
      </c>
      <c r="D401" s="281"/>
      <c r="E401" s="281"/>
      <c r="F401" s="281"/>
      <c r="G401" s="281"/>
      <c r="H401" s="281"/>
      <c r="I401" s="281"/>
      <c r="J401" s="281"/>
      <c r="K401" s="282"/>
      <c r="L401" s="108">
        <f>L400*1.8</f>
        <v>1.8</v>
      </c>
      <c r="M401" s="109" t="s">
        <v>78</v>
      </c>
      <c r="N401" s="40">
        <v>15.46</v>
      </c>
      <c r="O401" s="117" t="e">
        <f>(1+$Q$3)</f>
        <v>#REF!</v>
      </c>
      <c r="P401" s="111" t="e">
        <f t="shared" si="43"/>
        <v>#REF!</v>
      </c>
      <c r="Q401" s="112" t="e">
        <f t="shared" si="44"/>
        <v>#REF!</v>
      </c>
      <c r="R401" s="113" t="s">
        <v>466</v>
      </c>
    </row>
    <row r="402" spans="1:18" s="105" customFormat="1" ht="15" customHeight="1">
      <c r="A402" s="101"/>
      <c r="B402" s="107" t="s">
        <v>357</v>
      </c>
      <c r="C402" s="285" t="s">
        <v>761</v>
      </c>
      <c r="D402" s="281"/>
      <c r="E402" s="281"/>
      <c r="F402" s="281"/>
      <c r="G402" s="281"/>
      <c r="H402" s="281"/>
      <c r="I402" s="281"/>
      <c r="J402" s="281"/>
      <c r="K402" s="282"/>
      <c r="L402" s="108">
        <v>1</v>
      </c>
      <c r="M402" s="109" t="s">
        <v>111</v>
      </c>
      <c r="N402" s="40" t="e">
        <f>#REF!</f>
        <v>#REF!</v>
      </c>
      <c r="O402" s="117" t="e">
        <f>(1+$N$3)</f>
        <v>#REF!</v>
      </c>
      <c r="P402" s="111" t="e">
        <f>ROUND(N402*O402,2)</f>
        <v>#REF!</v>
      </c>
      <c r="Q402" s="112" t="e">
        <f>ROUND(L402*P402,2)</f>
        <v>#REF!</v>
      </c>
      <c r="R402" s="113" t="e">
        <f>#REF!</f>
        <v>#REF!</v>
      </c>
    </row>
    <row r="403" spans="1:18" s="105" customFormat="1" ht="15" customHeight="1">
      <c r="A403" s="101"/>
      <c r="B403" s="107" t="s">
        <v>358</v>
      </c>
      <c r="C403" s="280" t="s">
        <v>462</v>
      </c>
      <c r="D403" s="281"/>
      <c r="E403" s="281"/>
      <c r="F403" s="281"/>
      <c r="G403" s="281"/>
      <c r="H403" s="281"/>
      <c r="I403" s="281"/>
      <c r="J403" s="281"/>
      <c r="K403" s="282"/>
      <c r="L403" s="108">
        <v>0.82</v>
      </c>
      <c r="M403" s="109" t="s">
        <v>78</v>
      </c>
      <c r="N403" s="40">
        <v>23.49</v>
      </c>
      <c r="O403" s="117" t="e">
        <f>(1+$Q$3)</f>
        <v>#REF!</v>
      </c>
      <c r="P403" s="111" t="e">
        <f>ROUND(N403*O403,2)</f>
        <v>#REF!</v>
      </c>
      <c r="Q403" s="112" t="e">
        <f>ROUND(L403*P403,2)</f>
        <v>#REF!</v>
      </c>
      <c r="R403" s="113" t="s">
        <v>465</v>
      </c>
    </row>
    <row r="404" spans="1:18" s="105" customFormat="1" ht="15" customHeight="1">
      <c r="A404" s="101"/>
      <c r="B404" s="107" t="s">
        <v>359</v>
      </c>
      <c r="C404" s="285" t="s">
        <v>570</v>
      </c>
      <c r="D404" s="281"/>
      <c r="E404" s="281"/>
      <c r="F404" s="281"/>
      <c r="G404" s="281"/>
      <c r="H404" s="281"/>
      <c r="I404" s="281"/>
      <c r="J404" s="281"/>
      <c r="K404" s="282"/>
      <c r="L404" s="108">
        <v>1</v>
      </c>
      <c r="M404" s="109" t="s">
        <v>111</v>
      </c>
      <c r="N404" s="40" t="e">
        <f>#REF!</f>
        <v>#REF!</v>
      </c>
      <c r="O404" s="117" t="e">
        <f>(1+$N$3)</f>
        <v>#REF!</v>
      </c>
      <c r="P404" s="111" t="e">
        <f t="shared" si="43"/>
        <v>#REF!</v>
      </c>
      <c r="Q404" s="112" t="e">
        <f t="shared" si="44"/>
        <v>#REF!</v>
      </c>
      <c r="R404" s="113" t="e">
        <f>#REF!</f>
        <v>#REF!</v>
      </c>
    </row>
    <row r="405" spans="1:18" s="105" customFormat="1" ht="15" customHeight="1">
      <c r="A405" s="101"/>
      <c r="B405" s="107" t="s">
        <v>360</v>
      </c>
      <c r="C405" s="280" t="s">
        <v>462</v>
      </c>
      <c r="D405" s="281"/>
      <c r="E405" s="281"/>
      <c r="F405" s="281"/>
      <c r="G405" s="281"/>
      <c r="H405" s="281"/>
      <c r="I405" s="281"/>
      <c r="J405" s="281"/>
      <c r="K405" s="282"/>
      <c r="L405" s="108">
        <f>L404*2.59</f>
        <v>2.59</v>
      </c>
      <c r="M405" s="109" t="s">
        <v>78</v>
      </c>
      <c r="N405" s="40">
        <v>23.42</v>
      </c>
      <c r="O405" s="117" t="e">
        <f>(1+$Q$3)</f>
        <v>#REF!</v>
      </c>
      <c r="P405" s="111" t="e">
        <f t="shared" si="43"/>
        <v>#REF!</v>
      </c>
      <c r="Q405" s="112" t="e">
        <f t="shared" si="44"/>
        <v>#REF!</v>
      </c>
      <c r="R405" s="113" t="s">
        <v>465</v>
      </c>
    </row>
    <row r="406" spans="1:18" s="105" customFormat="1" ht="15" customHeight="1">
      <c r="A406" s="101"/>
      <c r="B406" s="107" t="s">
        <v>361</v>
      </c>
      <c r="C406" s="285" t="s">
        <v>571</v>
      </c>
      <c r="D406" s="281"/>
      <c r="E406" s="281"/>
      <c r="F406" s="281"/>
      <c r="G406" s="281"/>
      <c r="H406" s="281"/>
      <c r="I406" s="281"/>
      <c r="J406" s="281"/>
      <c r="K406" s="282"/>
      <c r="L406" s="108">
        <v>1</v>
      </c>
      <c r="M406" s="109" t="s">
        <v>111</v>
      </c>
      <c r="N406" s="40" t="e">
        <f>#REF!</f>
        <v>#REF!</v>
      </c>
      <c r="O406" s="117" t="e">
        <f>(1+$N$3)</f>
        <v>#REF!</v>
      </c>
      <c r="P406" s="111" t="e">
        <f t="shared" si="43"/>
        <v>#REF!</v>
      </c>
      <c r="Q406" s="112" t="e">
        <f t="shared" si="44"/>
        <v>#REF!</v>
      </c>
      <c r="R406" s="113" t="e">
        <f>#REF!</f>
        <v>#REF!</v>
      </c>
    </row>
    <row r="407" spans="1:18" s="105" customFormat="1" ht="15" customHeight="1">
      <c r="A407" s="101"/>
      <c r="B407" s="107" t="s">
        <v>362</v>
      </c>
      <c r="C407" s="280" t="s">
        <v>462</v>
      </c>
      <c r="D407" s="281"/>
      <c r="E407" s="281"/>
      <c r="F407" s="281"/>
      <c r="G407" s="281"/>
      <c r="H407" s="281"/>
      <c r="I407" s="281"/>
      <c r="J407" s="281"/>
      <c r="K407" s="282"/>
      <c r="L407" s="108">
        <f>L406*2.39</f>
        <v>2.39</v>
      </c>
      <c r="M407" s="109" t="s">
        <v>78</v>
      </c>
      <c r="N407" s="40">
        <v>23.42</v>
      </c>
      <c r="O407" s="117" t="e">
        <f>(1+$Q$3)</f>
        <v>#REF!</v>
      </c>
      <c r="P407" s="111" t="e">
        <f t="shared" si="43"/>
        <v>#REF!</v>
      </c>
      <c r="Q407" s="112" t="e">
        <f t="shared" si="44"/>
        <v>#REF!</v>
      </c>
      <c r="R407" s="113" t="s">
        <v>465</v>
      </c>
    </row>
    <row r="408" spans="1:18" s="105" customFormat="1" ht="15" customHeight="1">
      <c r="A408" s="101"/>
      <c r="B408" s="107" t="s">
        <v>363</v>
      </c>
      <c r="C408" s="285" t="s">
        <v>572</v>
      </c>
      <c r="D408" s="281"/>
      <c r="E408" s="281"/>
      <c r="F408" s="281"/>
      <c r="G408" s="281"/>
      <c r="H408" s="281"/>
      <c r="I408" s="281"/>
      <c r="J408" s="281"/>
      <c r="K408" s="282"/>
      <c r="L408" s="108">
        <v>1</v>
      </c>
      <c r="M408" s="109" t="s">
        <v>111</v>
      </c>
      <c r="N408" s="40" t="e">
        <f>#REF!</f>
        <v>#REF!</v>
      </c>
      <c r="O408" s="117" t="e">
        <f>(1+$N$3)</f>
        <v>#REF!</v>
      </c>
      <c r="P408" s="111" t="e">
        <f t="shared" si="43"/>
        <v>#REF!</v>
      </c>
      <c r="Q408" s="112" t="e">
        <f t="shared" si="44"/>
        <v>#REF!</v>
      </c>
      <c r="R408" s="113" t="e">
        <f>#REF!</f>
        <v>#REF!</v>
      </c>
    </row>
    <row r="409" spans="1:18" s="175" customFormat="1" ht="15" customHeight="1">
      <c r="A409" s="173"/>
      <c r="B409" s="174" t="s">
        <v>364</v>
      </c>
      <c r="C409" s="286" t="s">
        <v>462</v>
      </c>
      <c r="D409" s="287"/>
      <c r="E409" s="287"/>
      <c r="F409" s="287"/>
      <c r="G409" s="287"/>
      <c r="H409" s="287"/>
      <c r="I409" s="287"/>
      <c r="J409" s="287"/>
      <c r="K409" s="288"/>
      <c r="L409" s="176">
        <f>L408*2.22</f>
        <v>2.22</v>
      </c>
      <c r="M409" s="177" t="s">
        <v>78</v>
      </c>
      <c r="N409" s="176">
        <v>23.42</v>
      </c>
      <c r="O409" s="178" t="e">
        <f>(1+$Q$3)</f>
        <v>#REF!</v>
      </c>
      <c r="P409" s="179" t="e">
        <f t="shared" si="43"/>
        <v>#REF!</v>
      </c>
      <c r="Q409" s="180" t="e">
        <f t="shared" si="44"/>
        <v>#REF!</v>
      </c>
      <c r="R409" s="181" t="s">
        <v>465</v>
      </c>
    </row>
    <row r="410" spans="1:18" s="105" customFormat="1" ht="15" customHeight="1">
      <c r="A410" s="101"/>
      <c r="B410" s="107" t="s">
        <v>365</v>
      </c>
      <c r="C410" s="285" t="s">
        <v>573</v>
      </c>
      <c r="D410" s="281"/>
      <c r="E410" s="281"/>
      <c r="F410" s="281"/>
      <c r="G410" s="281"/>
      <c r="H410" s="281"/>
      <c r="I410" s="281"/>
      <c r="J410" s="281"/>
      <c r="K410" s="282"/>
      <c r="L410" s="108">
        <v>1</v>
      </c>
      <c r="M410" s="109" t="s">
        <v>111</v>
      </c>
      <c r="N410" s="40" t="e">
        <f>#REF!</f>
        <v>#REF!</v>
      </c>
      <c r="O410" s="117" t="e">
        <f>(1+$N$3)</f>
        <v>#REF!</v>
      </c>
      <c r="P410" s="111" t="e">
        <f t="shared" si="43"/>
        <v>#REF!</v>
      </c>
      <c r="Q410" s="112" t="e">
        <f t="shared" si="44"/>
        <v>#REF!</v>
      </c>
      <c r="R410" s="113" t="e">
        <f>#REF!</f>
        <v>#REF!</v>
      </c>
    </row>
    <row r="411" spans="1:18" s="175" customFormat="1" ht="15" customHeight="1">
      <c r="A411" s="173"/>
      <c r="B411" s="174" t="s">
        <v>366</v>
      </c>
      <c r="C411" s="286" t="s">
        <v>462</v>
      </c>
      <c r="D411" s="287"/>
      <c r="E411" s="287"/>
      <c r="F411" s="287"/>
      <c r="G411" s="287"/>
      <c r="H411" s="287"/>
      <c r="I411" s="287"/>
      <c r="J411" s="287"/>
      <c r="K411" s="288"/>
      <c r="L411" s="176">
        <f>L410*0.25</f>
        <v>0.25</v>
      </c>
      <c r="M411" s="177" t="s">
        <v>78</v>
      </c>
      <c r="N411" s="176">
        <v>23.42</v>
      </c>
      <c r="O411" s="178" t="e">
        <f>(1+$Q$3)</f>
        <v>#REF!</v>
      </c>
      <c r="P411" s="179" t="e">
        <f t="shared" si="43"/>
        <v>#REF!</v>
      </c>
      <c r="Q411" s="180" t="e">
        <f t="shared" si="44"/>
        <v>#REF!</v>
      </c>
      <c r="R411" s="181" t="s">
        <v>465</v>
      </c>
    </row>
    <row r="412" spans="1:18" s="105" customFormat="1" ht="15" customHeight="1">
      <c r="A412" s="101"/>
      <c r="B412" s="107" t="s">
        <v>367</v>
      </c>
      <c r="C412" s="285" t="s">
        <v>574</v>
      </c>
      <c r="D412" s="281"/>
      <c r="E412" s="281"/>
      <c r="F412" s="281"/>
      <c r="G412" s="281"/>
      <c r="H412" s="281"/>
      <c r="I412" s="281"/>
      <c r="J412" s="281"/>
      <c r="K412" s="282"/>
      <c r="L412" s="108">
        <v>1</v>
      </c>
      <c r="M412" s="109" t="s">
        <v>111</v>
      </c>
      <c r="N412" s="40" t="e">
        <f>#REF!</f>
        <v>#REF!</v>
      </c>
      <c r="O412" s="117" t="e">
        <f>(1+$N$3)</f>
        <v>#REF!</v>
      </c>
      <c r="P412" s="111" t="e">
        <f t="shared" si="43"/>
        <v>#REF!</v>
      </c>
      <c r="Q412" s="112" t="e">
        <f t="shared" si="44"/>
        <v>#REF!</v>
      </c>
      <c r="R412" s="113" t="e">
        <f>#REF!</f>
        <v>#REF!</v>
      </c>
    </row>
    <row r="413" spans="1:18" s="175" customFormat="1" ht="15" customHeight="1">
      <c r="A413" s="173"/>
      <c r="B413" s="174" t="s">
        <v>368</v>
      </c>
      <c r="C413" s="286" t="s">
        <v>462</v>
      </c>
      <c r="D413" s="287"/>
      <c r="E413" s="287"/>
      <c r="F413" s="287"/>
      <c r="G413" s="287"/>
      <c r="H413" s="287"/>
      <c r="I413" s="287"/>
      <c r="J413" s="287"/>
      <c r="K413" s="288"/>
      <c r="L413" s="176">
        <f>L412*1.01</f>
        <v>1.01</v>
      </c>
      <c r="M413" s="177" t="s">
        <v>78</v>
      </c>
      <c r="N413" s="176">
        <v>15.46</v>
      </c>
      <c r="O413" s="178" t="e">
        <f>(1+$Q$3)</f>
        <v>#REF!</v>
      </c>
      <c r="P413" s="179" t="e">
        <f t="shared" si="43"/>
        <v>#REF!</v>
      </c>
      <c r="Q413" s="180" t="e">
        <f t="shared" si="44"/>
        <v>#REF!</v>
      </c>
      <c r="R413" s="181" t="s">
        <v>466</v>
      </c>
    </row>
    <row r="414" spans="1:18" s="105" customFormat="1" ht="15" customHeight="1">
      <c r="A414" s="101"/>
      <c r="B414" s="107" t="s">
        <v>369</v>
      </c>
      <c r="C414" s="285" t="s">
        <v>575</v>
      </c>
      <c r="D414" s="281"/>
      <c r="E414" s="281"/>
      <c r="F414" s="281"/>
      <c r="G414" s="281"/>
      <c r="H414" s="281"/>
      <c r="I414" s="281"/>
      <c r="J414" s="281"/>
      <c r="K414" s="282"/>
      <c r="L414" s="108">
        <v>1</v>
      </c>
      <c r="M414" s="109" t="s">
        <v>111</v>
      </c>
      <c r="N414" s="40" t="e">
        <f>#REF!</f>
        <v>#REF!</v>
      </c>
      <c r="O414" s="117" t="e">
        <f>(1+$N$3)</f>
        <v>#REF!</v>
      </c>
      <c r="P414" s="111" t="e">
        <f t="shared" si="43"/>
        <v>#REF!</v>
      </c>
      <c r="Q414" s="112" t="e">
        <f t="shared" si="44"/>
        <v>#REF!</v>
      </c>
      <c r="R414" s="113" t="e">
        <f>#REF!</f>
        <v>#REF!</v>
      </c>
    </row>
    <row r="415" spans="1:18" s="175" customFormat="1" ht="15" customHeight="1">
      <c r="A415" s="173"/>
      <c r="B415" s="174" t="s">
        <v>370</v>
      </c>
      <c r="C415" s="286" t="s">
        <v>461</v>
      </c>
      <c r="D415" s="287"/>
      <c r="E415" s="287"/>
      <c r="F415" s="287"/>
      <c r="G415" s="287"/>
      <c r="H415" s="287"/>
      <c r="I415" s="287"/>
      <c r="J415" s="287"/>
      <c r="K415" s="288"/>
      <c r="L415" s="176">
        <f>L414*152</f>
        <v>152</v>
      </c>
      <c r="M415" s="177" t="s">
        <v>140</v>
      </c>
      <c r="N415" s="176">
        <v>0.79</v>
      </c>
      <c r="O415" s="178" t="e">
        <f>(1+$Q$3)</f>
        <v>#REF!</v>
      </c>
      <c r="P415" s="179" t="e">
        <f t="shared" si="43"/>
        <v>#REF!</v>
      </c>
      <c r="Q415" s="180" t="e">
        <f t="shared" si="44"/>
        <v>#REF!</v>
      </c>
      <c r="R415" s="181">
        <v>83726</v>
      </c>
    </row>
    <row r="416" spans="1:18" s="105" customFormat="1" ht="15" customHeight="1">
      <c r="A416" s="101"/>
      <c r="B416" s="107" t="s">
        <v>371</v>
      </c>
      <c r="C416" s="285" t="s">
        <v>576</v>
      </c>
      <c r="D416" s="281"/>
      <c r="E416" s="281"/>
      <c r="F416" s="281"/>
      <c r="G416" s="281"/>
      <c r="H416" s="281"/>
      <c r="I416" s="281"/>
      <c r="J416" s="281"/>
      <c r="K416" s="282"/>
      <c r="L416" s="108">
        <v>1</v>
      </c>
      <c r="M416" s="109" t="s">
        <v>111</v>
      </c>
      <c r="N416" s="40" t="e">
        <f>#REF!</f>
        <v>#REF!</v>
      </c>
      <c r="O416" s="117" t="e">
        <f>(1+$N$3)</f>
        <v>#REF!</v>
      </c>
      <c r="P416" s="111" t="e">
        <f t="shared" si="43"/>
        <v>#REF!</v>
      </c>
      <c r="Q416" s="112" t="e">
        <f t="shared" si="44"/>
        <v>#REF!</v>
      </c>
      <c r="R416" s="113" t="e">
        <f>#REF!</f>
        <v>#REF!</v>
      </c>
    </row>
    <row r="417" spans="1:18" s="175" customFormat="1" ht="15" customHeight="1">
      <c r="A417" s="173"/>
      <c r="B417" s="174" t="s">
        <v>372</v>
      </c>
      <c r="C417" s="286" t="s">
        <v>462</v>
      </c>
      <c r="D417" s="287"/>
      <c r="E417" s="287"/>
      <c r="F417" s="287"/>
      <c r="G417" s="287"/>
      <c r="H417" s="287"/>
      <c r="I417" s="287"/>
      <c r="J417" s="287"/>
      <c r="K417" s="288"/>
      <c r="L417" s="176">
        <f>L416*0.87</f>
        <v>0.87</v>
      </c>
      <c r="M417" s="177" t="s">
        <v>78</v>
      </c>
      <c r="N417" s="176">
        <v>12</v>
      </c>
      <c r="O417" s="178" t="e">
        <f>(1+$Q$3)</f>
        <v>#REF!</v>
      </c>
      <c r="P417" s="179" t="e">
        <f t="shared" si="43"/>
        <v>#REF!</v>
      </c>
      <c r="Q417" s="180" t="e">
        <f t="shared" si="44"/>
        <v>#REF!</v>
      </c>
      <c r="R417" s="181" t="s">
        <v>468</v>
      </c>
    </row>
    <row r="418" spans="1:18" s="105" customFormat="1" ht="15" customHeight="1">
      <c r="A418" s="101"/>
      <c r="B418" s="107" t="s">
        <v>814</v>
      </c>
      <c r="C418" s="285" t="s">
        <v>577</v>
      </c>
      <c r="D418" s="281"/>
      <c r="E418" s="281"/>
      <c r="F418" s="281"/>
      <c r="G418" s="281"/>
      <c r="H418" s="281"/>
      <c r="I418" s="281"/>
      <c r="J418" s="281"/>
      <c r="K418" s="282"/>
      <c r="L418" s="108">
        <v>1</v>
      </c>
      <c r="M418" s="109" t="s">
        <v>111</v>
      </c>
      <c r="N418" s="40" t="e">
        <f>#REF!</f>
        <v>#REF!</v>
      </c>
      <c r="O418" s="117" t="e">
        <f>(1+$N$3)</f>
        <v>#REF!</v>
      </c>
      <c r="P418" s="111" t="e">
        <f t="shared" si="43"/>
        <v>#REF!</v>
      </c>
      <c r="Q418" s="112" t="e">
        <f t="shared" si="44"/>
        <v>#REF!</v>
      </c>
      <c r="R418" s="113" t="e">
        <f>#REF!</f>
        <v>#REF!</v>
      </c>
    </row>
    <row r="419" spans="1:18" s="175" customFormat="1" ht="15" customHeight="1">
      <c r="A419" s="173"/>
      <c r="B419" s="174" t="s">
        <v>815</v>
      </c>
      <c r="C419" s="286" t="s">
        <v>462</v>
      </c>
      <c r="D419" s="287"/>
      <c r="E419" s="287"/>
      <c r="F419" s="287"/>
      <c r="G419" s="287"/>
      <c r="H419" s="287"/>
      <c r="I419" s="287"/>
      <c r="J419" s="287"/>
      <c r="K419" s="288"/>
      <c r="L419" s="176">
        <f>L418*0.8</f>
        <v>0.8</v>
      </c>
      <c r="M419" s="177" t="s">
        <v>78</v>
      </c>
      <c r="N419" s="176">
        <v>12</v>
      </c>
      <c r="O419" s="178" t="e">
        <f>(1+$Q$3)</f>
        <v>#REF!</v>
      </c>
      <c r="P419" s="179" t="e">
        <f t="shared" si="43"/>
        <v>#REF!</v>
      </c>
      <c r="Q419" s="180" t="e">
        <f t="shared" si="44"/>
        <v>#REF!</v>
      </c>
      <c r="R419" s="181" t="s">
        <v>468</v>
      </c>
    </row>
    <row r="420" spans="1:18" s="105" customFormat="1" ht="15" customHeight="1">
      <c r="A420" s="101"/>
      <c r="B420" s="107" t="s">
        <v>648</v>
      </c>
      <c r="C420" s="280" t="s">
        <v>335</v>
      </c>
      <c r="D420" s="281"/>
      <c r="E420" s="281"/>
      <c r="F420" s="281"/>
      <c r="G420" s="281"/>
      <c r="H420" s="281"/>
      <c r="I420" s="281"/>
      <c r="J420" s="281"/>
      <c r="K420" s="282"/>
      <c r="L420" s="118">
        <v>5</v>
      </c>
      <c r="M420" s="109" t="s">
        <v>111</v>
      </c>
      <c r="N420" s="182">
        <f>20*3.55+2*3.71</f>
        <v>78.42</v>
      </c>
      <c r="O420" s="117" t="e">
        <f>(1+$N$3)</f>
        <v>#REF!</v>
      </c>
      <c r="P420" s="111" t="e">
        <f t="shared" si="43"/>
        <v>#REF!</v>
      </c>
      <c r="Q420" s="120" t="e">
        <f t="shared" si="44"/>
        <v>#REF!</v>
      </c>
      <c r="R420" s="113" t="s">
        <v>684</v>
      </c>
    </row>
    <row r="421" spans="1:18" s="105" customFormat="1" ht="15" customHeight="1">
      <c r="A421" s="101"/>
      <c r="B421" s="107" t="s">
        <v>649</v>
      </c>
      <c r="C421" s="280" t="s">
        <v>461</v>
      </c>
      <c r="D421" s="281"/>
      <c r="E421" s="281"/>
      <c r="F421" s="281"/>
      <c r="G421" s="281"/>
      <c r="H421" s="281"/>
      <c r="I421" s="281"/>
      <c r="J421" s="281"/>
      <c r="K421" s="282"/>
      <c r="L421" s="108">
        <f>5*20</f>
        <v>100</v>
      </c>
      <c r="M421" s="109" t="s">
        <v>140</v>
      </c>
      <c r="N421" s="40">
        <v>0.79</v>
      </c>
      <c r="O421" s="117" t="e">
        <f>(1+$Q$3)</f>
        <v>#REF!</v>
      </c>
      <c r="P421" s="111" t="e">
        <f t="shared" si="43"/>
        <v>#REF!</v>
      </c>
      <c r="Q421" s="120" t="e">
        <f t="shared" si="44"/>
        <v>#REF!</v>
      </c>
      <c r="R421" s="113">
        <v>83726</v>
      </c>
    </row>
    <row r="422" spans="1:18" s="105" customFormat="1" ht="15" customHeight="1">
      <c r="A422" s="101"/>
      <c r="B422" s="107" t="s">
        <v>650</v>
      </c>
      <c r="C422" s="285" t="s">
        <v>578</v>
      </c>
      <c r="D422" s="281"/>
      <c r="E422" s="281"/>
      <c r="F422" s="281"/>
      <c r="G422" s="281"/>
      <c r="H422" s="281"/>
      <c r="I422" s="281"/>
      <c r="J422" s="281"/>
      <c r="K422" s="282"/>
      <c r="L422" s="108">
        <v>1</v>
      </c>
      <c r="M422" s="109" t="s">
        <v>111</v>
      </c>
      <c r="N422" s="40" t="e">
        <f>#REF!</f>
        <v>#REF!</v>
      </c>
      <c r="O422" s="117" t="e">
        <f>(1+$N$3)</f>
        <v>#REF!</v>
      </c>
      <c r="P422" s="111" t="e">
        <f t="shared" si="43"/>
        <v>#REF!</v>
      </c>
      <c r="Q422" s="112" t="e">
        <f t="shared" si="44"/>
        <v>#REF!</v>
      </c>
      <c r="R422" s="113" t="e">
        <f>#REF!</f>
        <v>#REF!</v>
      </c>
    </row>
    <row r="423" spans="1:18" s="105" customFormat="1" ht="15" customHeight="1">
      <c r="A423" s="101"/>
      <c r="B423" s="107" t="s">
        <v>651</v>
      </c>
      <c r="C423" s="280" t="s">
        <v>461</v>
      </c>
      <c r="D423" s="281"/>
      <c r="E423" s="281"/>
      <c r="F423" s="281"/>
      <c r="G423" s="281"/>
      <c r="H423" s="281"/>
      <c r="I423" s="281"/>
      <c r="J423" s="281"/>
      <c r="K423" s="282"/>
      <c r="L423" s="108">
        <f>L422*316</f>
        <v>316</v>
      </c>
      <c r="M423" s="109" t="s">
        <v>140</v>
      </c>
      <c r="N423" s="40">
        <v>0.79</v>
      </c>
      <c r="O423" s="117" t="e">
        <f>(1+$Q$3)</f>
        <v>#REF!</v>
      </c>
      <c r="P423" s="111" t="e">
        <f t="shared" si="43"/>
        <v>#REF!</v>
      </c>
      <c r="Q423" s="112" t="e">
        <f t="shared" si="44"/>
        <v>#REF!</v>
      </c>
      <c r="R423" s="113">
        <v>83726</v>
      </c>
    </row>
    <row r="424" spans="1:18" s="105" customFormat="1" ht="15" customHeight="1">
      <c r="A424" s="101"/>
      <c r="B424" s="107" t="s">
        <v>652</v>
      </c>
      <c r="C424" s="285" t="s">
        <v>579</v>
      </c>
      <c r="D424" s="281"/>
      <c r="E424" s="281"/>
      <c r="F424" s="281"/>
      <c r="G424" s="281"/>
      <c r="H424" s="281"/>
      <c r="I424" s="281"/>
      <c r="J424" s="281"/>
      <c r="K424" s="282"/>
      <c r="L424" s="108">
        <v>2</v>
      </c>
      <c r="M424" s="109" t="s">
        <v>111</v>
      </c>
      <c r="N424" s="40" t="e">
        <f>#REF!</f>
        <v>#REF!</v>
      </c>
      <c r="O424" s="117" t="e">
        <f>(1+$N$3)</f>
        <v>#REF!</v>
      </c>
      <c r="P424" s="111" t="e">
        <f t="shared" si="43"/>
        <v>#REF!</v>
      </c>
      <c r="Q424" s="112" t="e">
        <f t="shared" si="44"/>
        <v>#REF!</v>
      </c>
      <c r="R424" s="113" t="e">
        <f>#REF!</f>
        <v>#REF!</v>
      </c>
    </row>
    <row r="425" spans="1:18" s="105" customFormat="1" ht="15" customHeight="1">
      <c r="A425" s="101"/>
      <c r="B425" s="107" t="s">
        <v>653</v>
      </c>
      <c r="C425" s="280" t="s">
        <v>461</v>
      </c>
      <c r="D425" s="281"/>
      <c r="E425" s="281"/>
      <c r="F425" s="281"/>
      <c r="G425" s="281"/>
      <c r="H425" s="281"/>
      <c r="I425" s="281"/>
      <c r="J425" s="281"/>
      <c r="K425" s="282"/>
      <c r="L425" s="108">
        <f>L424*168</f>
        <v>336</v>
      </c>
      <c r="M425" s="109" t="s">
        <v>140</v>
      </c>
      <c r="N425" s="40">
        <v>0.79</v>
      </c>
      <c r="O425" s="117" t="e">
        <f>(1+$Q$3)</f>
        <v>#REF!</v>
      </c>
      <c r="P425" s="111" t="e">
        <f t="shared" si="43"/>
        <v>#REF!</v>
      </c>
      <c r="Q425" s="112" t="e">
        <f t="shared" si="44"/>
        <v>#REF!</v>
      </c>
      <c r="R425" s="113">
        <v>83726</v>
      </c>
    </row>
    <row r="426" spans="1:18" s="105" customFormat="1" ht="15" customHeight="1">
      <c r="A426" s="101"/>
      <c r="B426" s="107" t="s">
        <v>654</v>
      </c>
      <c r="C426" s="285" t="s">
        <v>580</v>
      </c>
      <c r="D426" s="281"/>
      <c r="E426" s="281"/>
      <c r="F426" s="281"/>
      <c r="G426" s="281"/>
      <c r="H426" s="281"/>
      <c r="I426" s="281"/>
      <c r="J426" s="281"/>
      <c r="K426" s="282"/>
      <c r="L426" s="108">
        <v>2</v>
      </c>
      <c r="M426" s="109" t="s">
        <v>111</v>
      </c>
      <c r="N426" s="40" t="e">
        <f>#REF!</f>
        <v>#REF!</v>
      </c>
      <c r="O426" s="117" t="e">
        <f>(1+$N$3)</f>
        <v>#REF!</v>
      </c>
      <c r="P426" s="111" t="e">
        <f t="shared" si="43"/>
        <v>#REF!</v>
      </c>
      <c r="Q426" s="112" t="e">
        <f t="shared" si="44"/>
        <v>#REF!</v>
      </c>
      <c r="R426" s="113" t="e">
        <f>#REF!</f>
        <v>#REF!</v>
      </c>
    </row>
    <row r="427" spans="1:18" s="105" customFormat="1" ht="15" customHeight="1">
      <c r="A427" s="101"/>
      <c r="B427" s="107" t="s">
        <v>655</v>
      </c>
      <c r="C427" s="280" t="s">
        <v>461</v>
      </c>
      <c r="D427" s="281"/>
      <c r="E427" s="281"/>
      <c r="F427" s="281"/>
      <c r="G427" s="281"/>
      <c r="H427" s="281"/>
      <c r="I427" s="281"/>
      <c r="J427" s="281"/>
      <c r="K427" s="282"/>
      <c r="L427" s="108">
        <f>L426*270</f>
        <v>540</v>
      </c>
      <c r="M427" s="109" t="s">
        <v>140</v>
      </c>
      <c r="N427" s="40">
        <v>0.79</v>
      </c>
      <c r="O427" s="117" t="e">
        <f>(1+$Q$3)</f>
        <v>#REF!</v>
      </c>
      <c r="P427" s="111" t="e">
        <f t="shared" si="43"/>
        <v>#REF!</v>
      </c>
      <c r="Q427" s="112" t="e">
        <f t="shared" si="44"/>
        <v>#REF!</v>
      </c>
      <c r="R427" s="113">
        <v>83726</v>
      </c>
    </row>
    <row r="428" spans="1:18" s="105" customFormat="1" ht="15" customHeight="1">
      <c r="A428" s="101"/>
      <c r="B428" s="107" t="s">
        <v>656</v>
      </c>
      <c r="C428" s="285" t="s">
        <v>581</v>
      </c>
      <c r="D428" s="281"/>
      <c r="E428" s="281"/>
      <c r="F428" s="281"/>
      <c r="G428" s="281"/>
      <c r="H428" s="281"/>
      <c r="I428" s="281"/>
      <c r="J428" s="281"/>
      <c r="K428" s="282"/>
      <c r="L428" s="108">
        <v>6</v>
      </c>
      <c r="M428" s="109" t="s">
        <v>111</v>
      </c>
      <c r="N428" s="40" t="e">
        <f>#REF!</f>
        <v>#REF!</v>
      </c>
      <c r="O428" s="117" t="e">
        <f>(1+$N$3)</f>
        <v>#REF!</v>
      </c>
      <c r="P428" s="111" t="e">
        <f t="shared" si="43"/>
        <v>#REF!</v>
      </c>
      <c r="Q428" s="112" t="e">
        <f t="shared" si="44"/>
        <v>#REF!</v>
      </c>
      <c r="R428" s="113" t="e">
        <f>#REF!</f>
        <v>#REF!</v>
      </c>
    </row>
    <row r="429" spans="1:18" s="105" customFormat="1" ht="15" customHeight="1">
      <c r="A429" s="101"/>
      <c r="B429" s="107" t="s">
        <v>657</v>
      </c>
      <c r="C429" s="280" t="s">
        <v>461</v>
      </c>
      <c r="D429" s="281"/>
      <c r="E429" s="281"/>
      <c r="F429" s="281"/>
      <c r="G429" s="281"/>
      <c r="H429" s="281"/>
      <c r="I429" s="281"/>
      <c r="J429" s="281"/>
      <c r="K429" s="282"/>
      <c r="L429" s="108">
        <f>L428*376</f>
        <v>2256</v>
      </c>
      <c r="M429" s="109" t="s">
        <v>140</v>
      </c>
      <c r="N429" s="40">
        <v>0.79</v>
      </c>
      <c r="O429" s="117" t="e">
        <f>(1+$Q$3)</f>
        <v>#REF!</v>
      </c>
      <c r="P429" s="111" t="e">
        <f t="shared" si="43"/>
        <v>#REF!</v>
      </c>
      <c r="Q429" s="112" t="e">
        <f t="shared" si="44"/>
        <v>#REF!</v>
      </c>
      <c r="R429" s="113">
        <v>83726</v>
      </c>
    </row>
    <row r="430" spans="1:18" s="105" customFormat="1" ht="15" customHeight="1">
      <c r="A430" s="101"/>
      <c r="B430" s="107" t="s">
        <v>658</v>
      </c>
      <c r="C430" s="285" t="s">
        <v>582</v>
      </c>
      <c r="D430" s="281"/>
      <c r="E430" s="281"/>
      <c r="F430" s="281"/>
      <c r="G430" s="281"/>
      <c r="H430" s="281"/>
      <c r="I430" s="281"/>
      <c r="J430" s="281"/>
      <c r="K430" s="282"/>
      <c r="L430" s="108">
        <v>1</v>
      </c>
      <c r="M430" s="109" t="s">
        <v>111</v>
      </c>
      <c r="N430" s="40" t="e">
        <f>#REF!</f>
        <v>#REF!</v>
      </c>
      <c r="O430" s="117" t="e">
        <f>(1+$N$3)</f>
        <v>#REF!</v>
      </c>
      <c r="P430" s="111" t="e">
        <f t="shared" si="43"/>
        <v>#REF!</v>
      </c>
      <c r="Q430" s="112" t="e">
        <f t="shared" si="44"/>
        <v>#REF!</v>
      </c>
      <c r="R430" s="113" t="e">
        <f>#REF!</f>
        <v>#REF!</v>
      </c>
    </row>
    <row r="431" spans="1:18" s="105" customFormat="1" ht="15" customHeight="1">
      <c r="A431" s="101"/>
      <c r="B431" s="107" t="s">
        <v>659</v>
      </c>
      <c r="C431" s="280" t="s">
        <v>461</v>
      </c>
      <c r="D431" s="281"/>
      <c r="E431" s="281"/>
      <c r="F431" s="281"/>
      <c r="G431" s="281"/>
      <c r="H431" s="281"/>
      <c r="I431" s="281"/>
      <c r="J431" s="281"/>
      <c r="K431" s="282"/>
      <c r="L431" s="108">
        <f>L430*293</f>
        <v>293</v>
      </c>
      <c r="M431" s="109" t="s">
        <v>140</v>
      </c>
      <c r="N431" s="40">
        <v>0.79</v>
      </c>
      <c r="O431" s="117" t="e">
        <f>(1+$Q$3)</f>
        <v>#REF!</v>
      </c>
      <c r="P431" s="111" t="e">
        <f t="shared" si="43"/>
        <v>#REF!</v>
      </c>
      <c r="Q431" s="112" t="e">
        <f t="shared" si="44"/>
        <v>#REF!</v>
      </c>
      <c r="R431" s="113">
        <v>83726</v>
      </c>
    </row>
    <row r="432" spans="1:18" s="105" customFormat="1" ht="15" customHeight="1">
      <c r="A432" s="101"/>
      <c r="B432" s="107" t="s">
        <v>660</v>
      </c>
      <c r="C432" s="285" t="s">
        <v>583</v>
      </c>
      <c r="D432" s="281"/>
      <c r="E432" s="281"/>
      <c r="F432" s="281"/>
      <c r="G432" s="281"/>
      <c r="H432" s="281"/>
      <c r="I432" s="281"/>
      <c r="J432" s="281"/>
      <c r="K432" s="282"/>
      <c r="L432" s="108">
        <v>1</v>
      </c>
      <c r="M432" s="109" t="s">
        <v>111</v>
      </c>
      <c r="N432" s="40" t="e">
        <f>#REF!</f>
        <v>#REF!</v>
      </c>
      <c r="O432" s="117" t="e">
        <f>(1+$N$3)</f>
        <v>#REF!</v>
      </c>
      <c r="P432" s="111" t="e">
        <f t="shared" si="43"/>
        <v>#REF!</v>
      </c>
      <c r="Q432" s="112" t="e">
        <f t="shared" si="44"/>
        <v>#REF!</v>
      </c>
      <c r="R432" s="113" t="e">
        <f>#REF!</f>
        <v>#REF!</v>
      </c>
    </row>
    <row r="433" spans="1:18" s="105" customFormat="1" ht="15" customHeight="1">
      <c r="A433" s="101"/>
      <c r="B433" s="107" t="s">
        <v>661</v>
      </c>
      <c r="C433" s="280" t="s">
        <v>461</v>
      </c>
      <c r="D433" s="281"/>
      <c r="E433" s="281"/>
      <c r="F433" s="281"/>
      <c r="G433" s="281"/>
      <c r="H433" s="281"/>
      <c r="I433" s="281"/>
      <c r="J433" s="281"/>
      <c r="K433" s="282"/>
      <c r="L433" s="108">
        <f>L432*165</f>
        <v>165</v>
      </c>
      <c r="M433" s="109" t="s">
        <v>140</v>
      </c>
      <c r="N433" s="40">
        <v>0.79</v>
      </c>
      <c r="O433" s="117" t="e">
        <f>(1+$Q$3)</f>
        <v>#REF!</v>
      </c>
      <c r="P433" s="111" t="e">
        <f t="shared" si="43"/>
        <v>#REF!</v>
      </c>
      <c r="Q433" s="112" t="e">
        <f t="shared" si="44"/>
        <v>#REF!</v>
      </c>
      <c r="R433" s="113">
        <v>83726</v>
      </c>
    </row>
    <row r="434" spans="1:18" s="105" customFormat="1" ht="15" customHeight="1">
      <c r="A434" s="101"/>
      <c r="B434" s="107" t="s">
        <v>662</v>
      </c>
      <c r="C434" s="285" t="s">
        <v>762</v>
      </c>
      <c r="D434" s="281"/>
      <c r="E434" s="281"/>
      <c r="F434" s="281"/>
      <c r="G434" s="281"/>
      <c r="H434" s="281"/>
      <c r="I434" s="281"/>
      <c r="J434" s="281"/>
      <c r="K434" s="282"/>
      <c r="L434" s="108">
        <v>2</v>
      </c>
      <c r="M434" s="109" t="s">
        <v>111</v>
      </c>
      <c r="N434" s="40" t="e">
        <f>#REF!</f>
        <v>#REF!</v>
      </c>
      <c r="O434" s="117" t="e">
        <f>(1+$N$3)</f>
        <v>#REF!</v>
      </c>
      <c r="P434" s="111" t="e">
        <f>ROUND(N434*O434,2)</f>
        <v>#REF!</v>
      </c>
      <c r="Q434" s="112" t="e">
        <f>ROUND(L434*P434,2)</f>
        <v>#REF!</v>
      </c>
      <c r="R434" s="166" t="e">
        <f>#REF!</f>
        <v>#REF!</v>
      </c>
    </row>
    <row r="435" spans="1:18" s="105" customFormat="1" ht="15" customHeight="1">
      <c r="A435" s="101"/>
      <c r="B435" s="107" t="s">
        <v>663</v>
      </c>
      <c r="C435" s="280" t="s">
        <v>461</v>
      </c>
      <c r="D435" s="281"/>
      <c r="E435" s="281"/>
      <c r="F435" s="281"/>
      <c r="G435" s="281"/>
      <c r="H435" s="281"/>
      <c r="I435" s="281"/>
      <c r="J435" s="281"/>
      <c r="K435" s="282"/>
      <c r="L435" s="108">
        <v>570</v>
      </c>
      <c r="M435" s="109" t="s">
        <v>140</v>
      </c>
      <c r="N435" s="40">
        <v>0.59</v>
      </c>
      <c r="O435" s="117" t="e">
        <f>(1+$Q$3)</f>
        <v>#REF!</v>
      </c>
      <c r="P435" s="111" t="e">
        <f>ROUND(N435*O435,2)</f>
        <v>#REF!</v>
      </c>
      <c r="Q435" s="112" t="e">
        <f>ROUND(L435*P435,2)</f>
        <v>#REF!</v>
      </c>
      <c r="R435" s="113">
        <v>83726</v>
      </c>
    </row>
    <row r="436" spans="1:18" s="105" customFormat="1" ht="15" customHeight="1">
      <c r="A436" s="101"/>
      <c r="B436" s="107" t="s">
        <v>664</v>
      </c>
      <c r="C436" s="285" t="s">
        <v>584</v>
      </c>
      <c r="D436" s="281"/>
      <c r="E436" s="281"/>
      <c r="F436" s="281"/>
      <c r="G436" s="281"/>
      <c r="H436" s="281"/>
      <c r="I436" s="281"/>
      <c r="J436" s="281"/>
      <c r="K436" s="282"/>
      <c r="L436" s="108">
        <v>1</v>
      </c>
      <c r="M436" s="109" t="s">
        <v>111</v>
      </c>
      <c r="N436" s="40" t="e">
        <f>#REF!</f>
        <v>#REF!</v>
      </c>
      <c r="O436" s="117" t="e">
        <f>(1+$N$3)</f>
        <v>#REF!</v>
      </c>
      <c r="P436" s="111" t="e">
        <f t="shared" si="43"/>
        <v>#REF!</v>
      </c>
      <c r="Q436" s="112" t="e">
        <f t="shared" si="44"/>
        <v>#REF!</v>
      </c>
      <c r="R436" s="113" t="e">
        <f>#REF!</f>
        <v>#REF!</v>
      </c>
    </row>
    <row r="437" spans="1:18" s="105" customFormat="1" ht="15" customHeight="1">
      <c r="A437" s="101"/>
      <c r="B437" s="107" t="s">
        <v>665</v>
      </c>
      <c r="C437" s="285" t="s">
        <v>461</v>
      </c>
      <c r="D437" s="281"/>
      <c r="E437" s="281"/>
      <c r="F437" s="281"/>
      <c r="G437" s="281"/>
      <c r="H437" s="281"/>
      <c r="I437" s="281"/>
      <c r="J437" s="281"/>
      <c r="K437" s="282"/>
      <c r="L437" s="108">
        <f>L436*505</f>
        <v>505</v>
      </c>
      <c r="M437" s="109" t="s">
        <v>140</v>
      </c>
      <c r="N437" s="40">
        <v>0.79</v>
      </c>
      <c r="O437" s="117" t="e">
        <f>(1+$Q$3)</f>
        <v>#REF!</v>
      </c>
      <c r="P437" s="111" t="e">
        <f t="shared" si="43"/>
        <v>#REF!</v>
      </c>
      <c r="Q437" s="112" t="e">
        <f t="shared" si="44"/>
        <v>#REF!</v>
      </c>
      <c r="R437" s="113">
        <v>83726</v>
      </c>
    </row>
    <row r="438" spans="1:18" s="105" customFormat="1" ht="15" customHeight="1">
      <c r="A438" s="101"/>
      <c r="B438" s="107" t="s">
        <v>666</v>
      </c>
      <c r="C438" s="285" t="s">
        <v>585</v>
      </c>
      <c r="D438" s="281"/>
      <c r="E438" s="281"/>
      <c r="F438" s="281"/>
      <c r="G438" s="281"/>
      <c r="H438" s="281"/>
      <c r="I438" s="281"/>
      <c r="J438" s="281"/>
      <c r="K438" s="282"/>
      <c r="L438" s="108">
        <v>1</v>
      </c>
      <c r="M438" s="109" t="s">
        <v>111</v>
      </c>
      <c r="N438" s="40" t="e">
        <f>#REF!</f>
        <v>#REF!</v>
      </c>
      <c r="O438" s="117" t="e">
        <f>(1+$N$3)</f>
        <v>#REF!</v>
      </c>
      <c r="P438" s="111" t="e">
        <f t="shared" si="43"/>
        <v>#REF!</v>
      </c>
      <c r="Q438" s="112" t="e">
        <f t="shared" si="44"/>
        <v>#REF!</v>
      </c>
      <c r="R438" s="113" t="e">
        <f>#REF!</f>
        <v>#REF!</v>
      </c>
    </row>
    <row r="439" spans="1:18" s="105" customFormat="1" ht="15" customHeight="1">
      <c r="A439" s="101"/>
      <c r="B439" s="107" t="s">
        <v>667</v>
      </c>
      <c r="C439" s="280" t="s">
        <v>461</v>
      </c>
      <c r="D439" s="281"/>
      <c r="E439" s="281"/>
      <c r="F439" s="281"/>
      <c r="G439" s="281"/>
      <c r="H439" s="281"/>
      <c r="I439" s="281"/>
      <c r="J439" s="281"/>
      <c r="K439" s="282"/>
      <c r="L439" s="108">
        <f>L438*77</f>
        <v>77</v>
      </c>
      <c r="M439" s="109" t="s">
        <v>140</v>
      </c>
      <c r="N439" s="40">
        <v>0.79</v>
      </c>
      <c r="O439" s="117" t="e">
        <f>(1+$Q$3)</f>
        <v>#REF!</v>
      </c>
      <c r="P439" s="111" t="e">
        <f t="shared" si="43"/>
        <v>#REF!</v>
      </c>
      <c r="Q439" s="112" t="e">
        <f t="shared" si="44"/>
        <v>#REF!</v>
      </c>
      <c r="R439" s="113">
        <v>83726</v>
      </c>
    </row>
    <row r="440" spans="1:18" s="105" customFormat="1" ht="15" customHeight="1">
      <c r="A440" s="101"/>
      <c r="B440" s="107" t="s">
        <v>816</v>
      </c>
      <c r="C440" s="285" t="s">
        <v>586</v>
      </c>
      <c r="D440" s="281"/>
      <c r="E440" s="281"/>
      <c r="F440" s="281"/>
      <c r="G440" s="281"/>
      <c r="H440" s="281"/>
      <c r="I440" s="281"/>
      <c r="J440" s="281"/>
      <c r="K440" s="282"/>
      <c r="L440" s="108">
        <v>3</v>
      </c>
      <c r="M440" s="109" t="s">
        <v>111</v>
      </c>
      <c r="N440" s="40" t="e">
        <f>#REF!</f>
        <v>#REF!</v>
      </c>
      <c r="O440" s="117" t="e">
        <f>(1+$N$3)</f>
        <v>#REF!</v>
      </c>
      <c r="P440" s="111" t="e">
        <f t="shared" si="43"/>
        <v>#REF!</v>
      </c>
      <c r="Q440" s="112" t="e">
        <f t="shared" si="44"/>
        <v>#REF!</v>
      </c>
      <c r="R440" s="113" t="e">
        <f>#REF!</f>
        <v>#REF!</v>
      </c>
    </row>
    <row r="441" spans="1:18" s="105" customFormat="1" ht="15" customHeight="1">
      <c r="A441" s="101"/>
      <c r="B441" s="107" t="s">
        <v>817</v>
      </c>
      <c r="C441" s="280" t="s">
        <v>461</v>
      </c>
      <c r="D441" s="281"/>
      <c r="E441" s="281"/>
      <c r="F441" s="281"/>
      <c r="G441" s="281"/>
      <c r="H441" s="281"/>
      <c r="I441" s="281"/>
      <c r="J441" s="281"/>
      <c r="K441" s="282"/>
      <c r="L441" s="108">
        <f>L440*156</f>
        <v>468</v>
      </c>
      <c r="M441" s="109" t="s">
        <v>140</v>
      </c>
      <c r="N441" s="40">
        <v>0.79</v>
      </c>
      <c r="O441" s="117" t="e">
        <f>(1+$Q$3)</f>
        <v>#REF!</v>
      </c>
      <c r="P441" s="111" t="e">
        <f t="shared" si="43"/>
        <v>#REF!</v>
      </c>
      <c r="Q441" s="112" t="e">
        <f t="shared" si="44"/>
        <v>#REF!</v>
      </c>
      <c r="R441" s="113">
        <v>83726</v>
      </c>
    </row>
    <row r="442" spans="1:18" s="105" customFormat="1" ht="15" customHeight="1">
      <c r="A442" s="101"/>
      <c r="B442" s="107" t="s">
        <v>668</v>
      </c>
      <c r="C442" s="285" t="s">
        <v>936</v>
      </c>
      <c r="D442" s="281"/>
      <c r="E442" s="281"/>
      <c r="F442" s="281"/>
      <c r="G442" s="281"/>
      <c r="H442" s="281"/>
      <c r="I442" s="281"/>
      <c r="J442" s="281"/>
      <c r="K442" s="282"/>
      <c r="L442" s="108">
        <v>1</v>
      </c>
      <c r="M442" s="109" t="s">
        <v>111</v>
      </c>
      <c r="N442" s="40" t="e">
        <f>#REF!</f>
        <v>#REF!</v>
      </c>
      <c r="O442" s="117" t="e">
        <f>(1+$N$3)</f>
        <v>#REF!</v>
      </c>
      <c r="P442" s="111" t="e">
        <f t="shared" si="43"/>
        <v>#REF!</v>
      </c>
      <c r="Q442" s="112" t="e">
        <f t="shared" si="44"/>
        <v>#REF!</v>
      </c>
      <c r="R442" s="113" t="e">
        <f>#REF!</f>
        <v>#REF!</v>
      </c>
    </row>
    <row r="443" spans="1:18" s="105" customFormat="1" ht="15" customHeight="1">
      <c r="A443" s="101"/>
      <c r="B443" s="107" t="s">
        <v>669</v>
      </c>
      <c r="C443" s="280" t="s">
        <v>461</v>
      </c>
      <c r="D443" s="281"/>
      <c r="E443" s="281"/>
      <c r="F443" s="281"/>
      <c r="G443" s="281"/>
      <c r="H443" s="281"/>
      <c r="I443" s="281"/>
      <c r="J443" s="281"/>
      <c r="K443" s="282"/>
      <c r="L443" s="108">
        <f>L442*180</f>
        <v>180</v>
      </c>
      <c r="M443" s="109" t="s">
        <v>140</v>
      </c>
      <c r="N443" s="40">
        <v>0.79</v>
      </c>
      <c r="O443" s="117" t="e">
        <f>(1+$Q$3)</f>
        <v>#REF!</v>
      </c>
      <c r="P443" s="111" t="e">
        <f t="shared" si="43"/>
        <v>#REF!</v>
      </c>
      <c r="Q443" s="112" t="e">
        <f t="shared" si="44"/>
        <v>#REF!</v>
      </c>
      <c r="R443" s="113">
        <v>83726</v>
      </c>
    </row>
    <row r="444" spans="1:18" s="105" customFormat="1" ht="15" customHeight="1">
      <c r="A444" s="101"/>
      <c r="B444" s="107" t="s">
        <v>670</v>
      </c>
      <c r="C444" s="285" t="s">
        <v>937</v>
      </c>
      <c r="D444" s="281"/>
      <c r="E444" s="281"/>
      <c r="F444" s="281"/>
      <c r="G444" s="281"/>
      <c r="H444" s="281"/>
      <c r="I444" s="281"/>
      <c r="J444" s="281"/>
      <c r="K444" s="282"/>
      <c r="L444" s="108">
        <v>1</v>
      </c>
      <c r="M444" s="109" t="s">
        <v>111</v>
      </c>
      <c r="N444" s="40" t="e">
        <f>#REF!</f>
        <v>#REF!</v>
      </c>
      <c r="O444" s="117" t="e">
        <f>(1+$N$3)</f>
        <v>#REF!</v>
      </c>
      <c r="P444" s="111" t="e">
        <f aca="true" t="shared" si="46" ref="P444:P457">ROUND(N444*O444,2)</f>
        <v>#REF!</v>
      </c>
      <c r="Q444" s="112" t="e">
        <f aca="true" t="shared" si="47" ref="Q444:Q457">ROUND(L444*P444,2)</f>
        <v>#REF!</v>
      </c>
      <c r="R444" s="113" t="e">
        <f>#REF!</f>
        <v>#REF!</v>
      </c>
    </row>
    <row r="445" spans="1:18" s="105" customFormat="1" ht="15" customHeight="1">
      <c r="A445" s="101"/>
      <c r="B445" s="107" t="s">
        <v>671</v>
      </c>
      <c r="C445" s="280" t="s">
        <v>461</v>
      </c>
      <c r="D445" s="281"/>
      <c r="E445" s="281"/>
      <c r="F445" s="281"/>
      <c r="G445" s="281"/>
      <c r="H445" s="281"/>
      <c r="I445" s="281"/>
      <c r="J445" s="281"/>
      <c r="K445" s="282"/>
      <c r="L445" s="108">
        <f>L444*236</f>
        <v>236</v>
      </c>
      <c r="M445" s="109" t="s">
        <v>140</v>
      </c>
      <c r="N445" s="40">
        <v>0.79</v>
      </c>
      <c r="O445" s="117" t="e">
        <f>(1+$Q$3)</f>
        <v>#REF!</v>
      </c>
      <c r="P445" s="111" t="e">
        <f t="shared" si="46"/>
        <v>#REF!</v>
      </c>
      <c r="Q445" s="112" t="e">
        <f t="shared" si="47"/>
        <v>#REF!</v>
      </c>
      <c r="R445" s="113">
        <v>83726</v>
      </c>
    </row>
    <row r="446" spans="1:18" s="105" customFormat="1" ht="15" customHeight="1">
      <c r="A446" s="101"/>
      <c r="B446" s="107" t="s">
        <v>672</v>
      </c>
      <c r="C446" s="285" t="s">
        <v>587</v>
      </c>
      <c r="D446" s="281"/>
      <c r="E446" s="281"/>
      <c r="F446" s="281"/>
      <c r="G446" s="281"/>
      <c r="H446" s="281"/>
      <c r="I446" s="281"/>
      <c r="J446" s="281"/>
      <c r="K446" s="282"/>
      <c r="L446" s="108">
        <v>2</v>
      </c>
      <c r="M446" s="109" t="s">
        <v>111</v>
      </c>
      <c r="N446" s="40" t="e">
        <f>#REF!</f>
        <v>#REF!</v>
      </c>
      <c r="O446" s="117" t="e">
        <f>(1+$N$3)</f>
        <v>#REF!</v>
      </c>
      <c r="P446" s="111" t="e">
        <f t="shared" si="46"/>
        <v>#REF!</v>
      </c>
      <c r="Q446" s="112" t="e">
        <f t="shared" si="47"/>
        <v>#REF!</v>
      </c>
      <c r="R446" s="113" t="e">
        <f>#REF!</f>
        <v>#REF!</v>
      </c>
    </row>
    <row r="447" spans="1:18" s="105" customFormat="1" ht="15" customHeight="1">
      <c r="A447" s="101"/>
      <c r="B447" s="107" t="s">
        <v>673</v>
      </c>
      <c r="C447" s="280" t="s">
        <v>461</v>
      </c>
      <c r="D447" s="281"/>
      <c r="E447" s="281"/>
      <c r="F447" s="281"/>
      <c r="G447" s="281"/>
      <c r="H447" s="281"/>
      <c r="I447" s="281"/>
      <c r="J447" s="281"/>
      <c r="K447" s="282"/>
      <c r="L447" s="108">
        <f>L446*523</f>
        <v>1046</v>
      </c>
      <c r="M447" s="109" t="s">
        <v>140</v>
      </c>
      <c r="N447" s="40">
        <v>0.79</v>
      </c>
      <c r="O447" s="117" t="e">
        <f>(1+$Q$3)</f>
        <v>#REF!</v>
      </c>
      <c r="P447" s="111" t="e">
        <f t="shared" si="46"/>
        <v>#REF!</v>
      </c>
      <c r="Q447" s="112" t="e">
        <f t="shared" si="47"/>
        <v>#REF!</v>
      </c>
      <c r="R447" s="113">
        <v>83726</v>
      </c>
    </row>
    <row r="448" spans="1:18" s="105" customFormat="1" ht="15" customHeight="1">
      <c r="A448" s="101"/>
      <c r="B448" s="107" t="s">
        <v>674</v>
      </c>
      <c r="C448" s="285" t="s">
        <v>588</v>
      </c>
      <c r="D448" s="281"/>
      <c r="E448" s="281"/>
      <c r="F448" s="281"/>
      <c r="G448" s="281"/>
      <c r="H448" s="281"/>
      <c r="I448" s="281"/>
      <c r="J448" s="281"/>
      <c r="K448" s="282"/>
      <c r="L448" s="108">
        <v>1</v>
      </c>
      <c r="M448" s="109" t="s">
        <v>111</v>
      </c>
      <c r="N448" s="40" t="e">
        <f>#REF!</f>
        <v>#REF!</v>
      </c>
      <c r="O448" s="117" t="e">
        <f>(1+$N$3)</f>
        <v>#REF!</v>
      </c>
      <c r="P448" s="111" t="e">
        <f t="shared" si="46"/>
        <v>#REF!</v>
      </c>
      <c r="Q448" s="112" t="e">
        <f t="shared" si="47"/>
        <v>#REF!</v>
      </c>
      <c r="R448" s="113" t="e">
        <f>#REF!</f>
        <v>#REF!</v>
      </c>
    </row>
    <row r="449" spans="1:18" s="105" customFormat="1" ht="15" customHeight="1">
      <c r="A449" s="101"/>
      <c r="B449" s="107" t="s">
        <v>675</v>
      </c>
      <c r="C449" s="280" t="s">
        <v>461</v>
      </c>
      <c r="D449" s="281"/>
      <c r="E449" s="281"/>
      <c r="F449" s="281"/>
      <c r="G449" s="281"/>
      <c r="H449" s="281"/>
      <c r="I449" s="281"/>
      <c r="J449" s="281"/>
      <c r="K449" s="282"/>
      <c r="L449" s="108">
        <f>L448*192</f>
        <v>192</v>
      </c>
      <c r="M449" s="109" t="s">
        <v>140</v>
      </c>
      <c r="N449" s="40">
        <v>0.79</v>
      </c>
      <c r="O449" s="117" t="e">
        <f>(1+$Q$3)</f>
        <v>#REF!</v>
      </c>
      <c r="P449" s="111" t="e">
        <f t="shared" si="46"/>
        <v>#REF!</v>
      </c>
      <c r="Q449" s="112" t="e">
        <f t="shared" si="47"/>
        <v>#REF!</v>
      </c>
      <c r="R449" s="113">
        <v>83726</v>
      </c>
    </row>
    <row r="450" spans="1:18" s="105" customFormat="1" ht="15" customHeight="1">
      <c r="A450" s="101"/>
      <c r="B450" s="107" t="s">
        <v>676</v>
      </c>
      <c r="C450" s="289" t="s">
        <v>599</v>
      </c>
      <c r="D450" s="290"/>
      <c r="E450" s="290"/>
      <c r="F450" s="290"/>
      <c r="G450" s="290"/>
      <c r="H450" s="290"/>
      <c r="I450" s="290"/>
      <c r="J450" s="290"/>
      <c r="K450" s="291"/>
      <c r="L450" s="118">
        <f>15.3+44.4+7.25+8.6</f>
        <v>75.55</v>
      </c>
      <c r="M450" s="119" t="s">
        <v>78</v>
      </c>
      <c r="N450" s="182">
        <v>148.17</v>
      </c>
      <c r="O450" s="124" t="e">
        <f>(1+$N$3)</f>
        <v>#REF!</v>
      </c>
      <c r="P450" s="125" t="e">
        <f t="shared" si="46"/>
        <v>#REF!</v>
      </c>
      <c r="Q450" s="120" t="e">
        <f t="shared" si="47"/>
        <v>#REF!</v>
      </c>
      <c r="R450" s="113">
        <v>92221</v>
      </c>
    </row>
    <row r="451" spans="1:18" s="105" customFormat="1" ht="24.75" customHeight="1">
      <c r="A451" s="101"/>
      <c r="B451" s="107" t="s">
        <v>677</v>
      </c>
      <c r="C451" s="289" t="s">
        <v>597</v>
      </c>
      <c r="D451" s="290"/>
      <c r="E451" s="290"/>
      <c r="F451" s="290"/>
      <c r="G451" s="290"/>
      <c r="H451" s="290"/>
      <c r="I451" s="290"/>
      <c r="J451" s="290"/>
      <c r="K451" s="291"/>
      <c r="L451" s="118">
        <v>2</v>
      </c>
      <c r="M451" s="119" t="s">
        <v>111</v>
      </c>
      <c r="N451" s="182">
        <v>2177.6</v>
      </c>
      <c r="O451" s="124" t="e">
        <f>(1+$Q$3)</f>
        <v>#REF!</v>
      </c>
      <c r="P451" s="125" t="e">
        <f t="shared" si="46"/>
        <v>#REF!</v>
      </c>
      <c r="Q451" s="120" t="e">
        <f t="shared" si="47"/>
        <v>#REF!</v>
      </c>
      <c r="R451" s="113" t="s">
        <v>598</v>
      </c>
    </row>
    <row r="452" spans="1:18" s="105" customFormat="1" ht="15" customHeight="1">
      <c r="A452" s="101"/>
      <c r="B452" s="107" t="s">
        <v>818</v>
      </c>
      <c r="C452" s="285" t="s">
        <v>763</v>
      </c>
      <c r="D452" s="281"/>
      <c r="E452" s="281"/>
      <c r="F452" s="281"/>
      <c r="G452" s="281"/>
      <c r="H452" s="281"/>
      <c r="I452" s="281"/>
      <c r="J452" s="281"/>
      <c r="K452" s="282"/>
      <c r="L452" s="108">
        <v>1</v>
      </c>
      <c r="M452" s="109" t="s">
        <v>111</v>
      </c>
      <c r="N452" s="40" t="e">
        <f>#REF!</f>
        <v>#REF!</v>
      </c>
      <c r="O452" s="117" t="e">
        <f>(1+$N$3)</f>
        <v>#REF!</v>
      </c>
      <c r="P452" s="111" t="e">
        <f>ROUND(N452*O452,2)</f>
        <v>#REF!</v>
      </c>
      <c r="Q452" s="112" t="e">
        <f>ROUND(L452*P452,2)</f>
        <v>#REF!</v>
      </c>
      <c r="R452" s="113" t="e">
        <f>#REF!</f>
        <v>#REF!</v>
      </c>
    </row>
    <row r="453" spans="1:18" s="105" customFormat="1" ht="15" customHeight="1">
      <c r="A453" s="101"/>
      <c r="B453" s="107" t="s">
        <v>819</v>
      </c>
      <c r="C453" s="280" t="s">
        <v>764</v>
      </c>
      <c r="D453" s="281"/>
      <c r="E453" s="281"/>
      <c r="F453" s="281"/>
      <c r="G453" s="281"/>
      <c r="H453" s="281"/>
      <c r="I453" s="281"/>
      <c r="J453" s="281"/>
      <c r="K453" s="282"/>
      <c r="L453" s="108">
        <v>1692</v>
      </c>
      <c r="M453" s="109" t="s">
        <v>140</v>
      </c>
      <c r="N453" s="40">
        <v>0.79</v>
      </c>
      <c r="O453" s="117" t="e">
        <f>(1+$Q$3)</f>
        <v>#REF!</v>
      </c>
      <c r="P453" s="111" t="e">
        <f>ROUND(N453*O453,2)</f>
        <v>#REF!</v>
      </c>
      <c r="Q453" s="112" t="e">
        <f>ROUND(L453*P453,2)</f>
        <v>#REF!</v>
      </c>
      <c r="R453" s="113">
        <v>83725</v>
      </c>
    </row>
    <row r="454" spans="1:18" s="105" customFormat="1" ht="15" customHeight="1">
      <c r="A454" s="101"/>
      <c r="B454" s="107" t="s">
        <v>682</v>
      </c>
      <c r="C454" s="285" t="s">
        <v>589</v>
      </c>
      <c r="D454" s="281"/>
      <c r="E454" s="281"/>
      <c r="F454" s="281"/>
      <c r="G454" s="281"/>
      <c r="H454" s="281"/>
      <c r="I454" s="281"/>
      <c r="J454" s="281"/>
      <c r="K454" s="282"/>
      <c r="L454" s="108">
        <v>1</v>
      </c>
      <c r="M454" s="109" t="s">
        <v>111</v>
      </c>
      <c r="N454" s="40" t="e">
        <f>#REF!</f>
        <v>#REF!</v>
      </c>
      <c r="O454" s="117" t="e">
        <f>(1+$N$3)</f>
        <v>#REF!</v>
      </c>
      <c r="P454" s="111" t="e">
        <f t="shared" si="46"/>
        <v>#REF!</v>
      </c>
      <c r="Q454" s="112" t="e">
        <f t="shared" si="47"/>
        <v>#REF!</v>
      </c>
      <c r="R454" s="113" t="e">
        <f>#REF!</f>
        <v>#REF!</v>
      </c>
    </row>
    <row r="455" spans="1:18" s="105" customFormat="1" ht="15" customHeight="1">
      <c r="A455" s="101"/>
      <c r="B455" s="107" t="s">
        <v>820</v>
      </c>
      <c r="C455" s="280" t="s">
        <v>472</v>
      </c>
      <c r="D455" s="281"/>
      <c r="E455" s="281"/>
      <c r="F455" s="281"/>
      <c r="G455" s="281"/>
      <c r="H455" s="281"/>
      <c r="I455" s="281"/>
      <c r="J455" s="281"/>
      <c r="K455" s="282"/>
      <c r="L455" s="108">
        <f>L454</f>
        <v>1</v>
      </c>
      <c r="M455" s="109" t="s">
        <v>111</v>
      </c>
      <c r="N455" s="40">
        <v>669.1</v>
      </c>
      <c r="O455" s="117" t="e">
        <f>(1+$Q$3)</f>
        <v>#REF!</v>
      </c>
      <c r="P455" s="111" t="e">
        <f t="shared" si="46"/>
        <v>#REF!</v>
      </c>
      <c r="Q455" s="112" t="e">
        <f t="shared" si="47"/>
        <v>#REF!</v>
      </c>
      <c r="R455" s="113">
        <v>83726</v>
      </c>
    </row>
    <row r="456" spans="1:18" s="105" customFormat="1" ht="15" customHeight="1">
      <c r="A456" s="101"/>
      <c r="B456" s="107" t="s">
        <v>821</v>
      </c>
      <c r="C456" s="285" t="s">
        <v>590</v>
      </c>
      <c r="D456" s="281"/>
      <c r="E456" s="281"/>
      <c r="F456" s="281"/>
      <c r="G456" s="281"/>
      <c r="H456" s="281"/>
      <c r="I456" s="281"/>
      <c r="J456" s="281"/>
      <c r="K456" s="282"/>
      <c r="L456" s="108">
        <v>1</v>
      </c>
      <c r="M456" s="109" t="s">
        <v>111</v>
      </c>
      <c r="N456" s="40" t="e">
        <f>#REF!</f>
        <v>#REF!</v>
      </c>
      <c r="O456" s="117" t="e">
        <f>(1+$N$3)</f>
        <v>#REF!</v>
      </c>
      <c r="P456" s="111" t="e">
        <f t="shared" si="46"/>
        <v>#REF!</v>
      </c>
      <c r="Q456" s="112" t="e">
        <f t="shared" si="47"/>
        <v>#REF!</v>
      </c>
      <c r="R456" s="113" t="e">
        <f>#REF!</f>
        <v>#REF!</v>
      </c>
    </row>
    <row r="457" spans="1:18" s="105" customFormat="1" ht="15" customHeight="1">
      <c r="A457" s="101"/>
      <c r="B457" s="107" t="s">
        <v>822</v>
      </c>
      <c r="C457" s="280" t="s">
        <v>473</v>
      </c>
      <c r="D457" s="281"/>
      <c r="E457" s="281"/>
      <c r="F457" s="281"/>
      <c r="G457" s="281"/>
      <c r="H457" s="281"/>
      <c r="I457" s="281"/>
      <c r="J457" s="281"/>
      <c r="K457" s="282"/>
      <c r="L457" s="108">
        <f>L456</f>
        <v>1</v>
      </c>
      <c r="M457" s="109" t="s">
        <v>111</v>
      </c>
      <c r="N457" s="40">
        <v>699.51</v>
      </c>
      <c r="O457" s="117" t="e">
        <f>(1+$Q$3)</f>
        <v>#REF!</v>
      </c>
      <c r="P457" s="111" t="e">
        <f t="shared" si="46"/>
        <v>#REF!</v>
      </c>
      <c r="Q457" s="112" t="e">
        <f t="shared" si="47"/>
        <v>#REF!</v>
      </c>
      <c r="R457" s="113" t="s">
        <v>471</v>
      </c>
    </row>
    <row r="458" spans="1:18" s="105" customFormat="1" ht="15" customHeight="1" thickBot="1">
      <c r="A458" s="101"/>
      <c r="B458" s="107" t="s">
        <v>823</v>
      </c>
      <c r="C458" s="275" t="s">
        <v>681</v>
      </c>
      <c r="D458" s="276"/>
      <c r="E458" s="276"/>
      <c r="F458" s="276"/>
      <c r="G458" s="276"/>
      <c r="H458" s="276"/>
      <c r="I458" s="276"/>
      <c r="J458" s="276"/>
      <c r="K458" s="276"/>
      <c r="L458" s="118">
        <v>4</v>
      </c>
      <c r="M458" s="127" t="s">
        <v>679</v>
      </c>
      <c r="N458" s="207">
        <v>395.44</v>
      </c>
      <c r="O458" s="124" t="e">
        <f>(1+$Q$3)</f>
        <v>#REF!</v>
      </c>
      <c r="P458" s="125" t="e">
        <f>ROUND(N458*O458,2)</f>
        <v>#REF!</v>
      </c>
      <c r="Q458" s="120" t="e">
        <f>ROUND(L458*P458,2)</f>
        <v>#REF!</v>
      </c>
      <c r="R458" s="113" t="s">
        <v>680</v>
      </c>
    </row>
    <row r="459" spans="1:19" s="135" customFormat="1" ht="15" customHeight="1" thickBot="1">
      <c r="A459" s="101"/>
      <c r="B459" s="115">
        <v>5</v>
      </c>
      <c r="C459" s="270" t="s">
        <v>141</v>
      </c>
      <c r="D459" s="271"/>
      <c r="E459" s="271"/>
      <c r="F459" s="271"/>
      <c r="G459" s="271"/>
      <c r="H459" s="271"/>
      <c r="I459" s="271"/>
      <c r="J459" s="271"/>
      <c r="K459" s="271"/>
      <c r="L459" s="330" t="s">
        <v>142</v>
      </c>
      <c r="M459" s="330"/>
      <c r="N459" s="330"/>
      <c r="O459" s="132" t="e">
        <f>Q459/N466</f>
        <v>#REF!</v>
      </c>
      <c r="P459" s="133"/>
      <c r="Q459" s="103" t="e">
        <f>SUM(Q460:Q464)</f>
        <v>#REF!</v>
      </c>
      <c r="R459" s="134"/>
      <c r="S459" s="105"/>
    </row>
    <row r="460" spans="1:18" s="105" customFormat="1" ht="15" customHeight="1">
      <c r="A460" s="101"/>
      <c r="B460" s="107" t="s">
        <v>476</v>
      </c>
      <c r="C460" s="278" t="s">
        <v>251</v>
      </c>
      <c r="D460" s="278"/>
      <c r="E460" s="278"/>
      <c r="F460" s="278"/>
      <c r="G460" s="278"/>
      <c r="H460" s="278"/>
      <c r="I460" s="278"/>
      <c r="J460" s="278"/>
      <c r="K460" s="278"/>
      <c r="L460" s="108">
        <v>6</v>
      </c>
      <c r="M460" s="109" t="s">
        <v>147</v>
      </c>
      <c r="N460" s="40">
        <v>1529.6</v>
      </c>
      <c r="O460" s="110" t="e">
        <f aca="true" t="shared" si="48" ref="O460:O465">(1+$Q$3)</f>
        <v>#REF!</v>
      </c>
      <c r="P460" s="111" t="e">
        <f aca="true" t="shared" si="49" ref="P460:P465">ROUND(N460*(O460),2)</f>
        <v>#REF!</v>
      </c>
      <c r="Q460" s="112" t="e">
        <f aca="true" t="shared" si="50" ref="Q460:Q465">ROUND(L460*P460,2)</f>
        <v>#REF!</v>
      </c>
      <c r="R460" s="113">
        <v>41071</v>
      </c>
    </row>
    <row r="461" spans="1:18" s="105" customFormat="1" ht="15" customHeight="1">
      <c r="A461" s="101"/>
      <c r="B461" s="107" t="s">
        <v>477</v>
      </c>
      <c r="C461" s="278" t="s">
        <v>252</v>
      </c>
      <c r="D461" s="278"/>
      <c r="E461" s="278"/>
      <c r="F461" s="278"/>
      <c r="G461" s="278"/>
      <c r="H461" s="278"/>
      <c r="I461" s="278"/>
      <c r="J461" s="278"/>
      <c r="K461" s="278"/>
      <c r="L461" s="108">
        <v>6</v>
      </c>
      <c r="M461" s="109" t="s">
        <v>147</v>
      </c>
      <c r="N461" s="40">
        <v>3930.67</v>
      </c>
      <c r="O461" s="110" t="e">
        <f t="shared" si="48"/>
        <v>#REF!</v>
      </c>
      <c r="P461" s="111" t="e">
        <f t="shared" si="49"/>
        <v>#REF!</v>
      </c>
      <c r="Q461" s="112" t="e">
        <f t="shared" si="50"/>
        <v>#REF!</v>
      </c>
      <c r="R461" s="113">
        <v>40931</v>
      </c>
    </row>
    <row r="462" spans="1:18" s="105" customFormat="1" ht="15" customHeight="1">
      <c r="A462" s="101"/>
      <c r="B462" s="107" t="s">
        <v>478</v>
      </c>
      <c r="C462" s="278" t="s">
        <v>130</v>
      </c>
      <c r="D462" s="278"/>
      <c r="E462" s="278"/>
      <c r="F462" s="278"/>
      <c r="G462" s="278"/>
      <c r="H462" s="278"/>
      <c r="I462" s="278"/>
      <c r="J462" s="278"/>
      <c r="K462" s="278"/>
      <c r="L462" s="108">
        <v>6</v>
      </c>
      <c r="M462" s="109" t="s">
        <v>147</v>
      </c>
      <c r="N462" s="40">
        <v>15330.27</v>
      </c>
      <c r="O462" s="110" t="e">
        <f t="shared" si="48"/>
        <v>#REF!</v>
      </c>
      <c r="P462" s="111" t="e">
        <f t="shared" si="49"/>
        <v>#REF!</v>
      </c>
      <c r="Q462" s="112" t="e">
        <f t="shared" si="50"/>
        <v>#REF!</v>
      </c>
      <c r="R462" s="113">
        <v>40813</v>
      </c>
    </row>
    <row r="463" spans="1:18" s="105" customFormat="1" ht="15" customHeight="1">
      <c r="A463" s="101"/>
      <c r="B463" s="107" t="s">
        <v>479</v>
      </c>
      <c r="C463" s="278" t="s">
        <v>131</v>
      </c>
      <c r="D463" s="278"/>
      <c r="E463" s="278"/>
      <c r="F463" s="278"/>
      <c r="G463" s="278"/>
      <c r="H463" s="278"/>
      <c r="I463" s="278"/>
      <c r="J463" s="278"/>
      <c r="K463" s="278"/>
      <c r="L463" s="108">
        <v>6</v>
      </c>
      <c r="M463" s="109" t="s">
        <v>147</v>
      </c>
      <c r="N463" s="40">
        <v>7369.42</v>
      </c>
      <c r="O463" s="110" t="e">
        <f t="shared" si="48"/>
        <v>#REF!</v>
      </c>
      <c r="P463" s="111" t="e">
        <f t="shared" si="49"/>
        <v>#REF!</v>
      </c>
      <c r="Q463" s="112" t="e">
        <f t="shared" si="50"/>
        <v>#REF!</v>
      </c>
      <c r="R463" s="113">
        <v>40819</v>
      </c>
    </row>
    <row r="464" spans="1:18" s="105" customFormat="1" ht="15" customHeight="1" thickBot="1">
      <c r="A464" s="101"/>
      <c r="B464" s="107" t="s">
        <v>480</v>
      </c>
      <c r="C464" s="278" t="s">
        <v>132</v>
      </c>
      <c r="D464" s="278"/>
      <c r="E464" s="278"/>
      <c r="F464" s="278"/>
      <c r="G464" s="278"/>
      <c r="H464" s="278"/>
      <c r="I464" s="278"/>
      <c r="J464" s="278"/>
      <c r="K464" s="278"/>
      <c r="L464" s="108">
        <f>6*3</f>
        <v>18</v>
      </c>
      <c r="M464" s="109" t="s">
        <v>147</v>
      </c>
      <c r="N464" s="40">
        <v>1992.19</v>
      </c>
      <c r="O464" s="110" t="e">
        <f t="shared" si="48"/>
        <v>#REF!</v>
      </c>
      <c r="P464" s="111" t="e">
        <f t="shared" si="49"/>
        <v>#REF!</v>
      </c>
      <c r="Q464" s="112" t="e">
        <f t="shared" si="50"/>
        <v>#REF!</v>
      </c>
      <c r="R464" s="136">
        <v>41096</v>
      </c>
    </row>
    <row r="465" spans="1:18" s="105" customFormat="1" ht="15" customHeight="1" thickBot="1">
      <c r="A465" s="101"/>
      <c r="B465" s="107" t="s">
        <v>508</v>
      </c>
      <c r="C465" s="278" t="s">
        <v>825</v>
      </c>
      <c r="D465" s="278"/>
      <c r="E465" s="278"/>
      <c r="F465" s="278"/>
      <c r="G465" s="278"/>
      <c r="H465" s="278"/>
      <c r="I465" s="278"/>
      <c r="J465" s="278"/>
      <c r="K465" s="278"/>
      <c r="L465" s="108">
        <f>22*8</f>
        <v>176</v>
      </c>
      <c r="M465" s="167" t="s">
        <v>829</v>
      </c>
      <c r="N465" s="40">
        <v>116.07</v>
      </c>
      <c r="O465" s="110" t="e">
        <f t="shared" si="48"/>
        <v>#REF!</v>
      </c>
      <c r="P465" s="111" t="e">
        <f t="shared" si="49"/>
        <v>#REF!</v>
      </c>
      <c r="Q465" s="112" t="e">
        <f t="shared" si="50"/>
        <v>#REF!</v>
      </c>
      <c r="R465" s="136">
        <v>90779</v>
      </c>
    </row>
    <row r="466" spans="1:20" s="106" customFormat="1" ht="15" customHeight="1" thickBot="1">
      <c r="A466" s="101"/>
      <c r="B466" s="331" t="s">
        <v>685</v>
      </c>
      <c r="C466" s="332"/>
      <c r="D466" s="332"/>
      <c r="E466" s="332"/>
      <c r="F466" s="332"/>
      <c r="G466" s="332"/>
      <c r="H466" s="332"/>
      <c r="I466" s="332"/>
      <c r="J466" s="332"/>
      <c r="K466" s="332"/>
      <c r="L466" s="332"/>
      <c r="M466" s="333"/>
      <c r="N466" s="340" t="e">
        <f>Q6+Q13+Q150+Q371+Q459</f>
        <v>#REF!</v>
      </c>
      <c r="O466" s="341"/>
      <c r="P466" s="341"/>
      <c r="Q466" s="342"/>
      <c r="R466" s="137"/>
      <c r="S466" s="105"/>
      <c r="T466" s="138"/>
    </row>
    <row r="467" spans="1:19" s="106" customFormat="1" ht="15" customHeight="1">
      <c r="A467" s="101"/>
      <c r="B467" s="334"/>
      <c r="C467" s="335"/>
      <c r="D467" s="335"/>
      <c r="E467" s="335"/>
      <c r="F467" s="335"/>
      <c r="G467" s="335"/>
      <c r="H467" s="335"/>
      <c r="I467" s="335"/>
      <c r="J467" s="335"/>
      <c r="K467" s="335"/>
      <c r="L467" s="335"/>
      <c r="M467" s="335"/>
      <c r="N467" s="335"/>
      <c r="O467" s="335"/>
      <c r="P467" s="335"/>
      <c r="Q467" s="335"/>
      <c r="R467" s="137"/>
      <c r="S467" s="105"/>
    </row>
    <row r="468" spans="1:19" s="106" customFormat="1" ht="15" customHeight="1">
      <c r="A468" s="101"/>
      <c r="B468" s="139"/>
      <c r="C468" s="140"/>
      <c r="D468" s="140"/>
      <c r="E468" s="140"/>
      <c r="F468" s="140"/>
      <c r="G468" s="140"/>
      <c r="H468" s="140"/>
      <c r="I468" s="140"/>
      <c r="J468" s="140"/>
      <c r="K468" s="140"/>
      <c r="L468" s="140"/>
      <c r="M468" s="140"/>
      <c r="N468" s="208"/>
      <c r="O468" s="140"/>
      <c r="P468" s="140"/>
      <c r="Q468" s="140"/>
      <c r="R468" s="137"/>
      <c r="S468" s="105"/>
    </row>
    <row r="469" spans="1:19" s="106" customFormat="1" ht="15" customHeight="1">
      <c r="A469" s="101"/>
      <c r="B469" s="135"/>
      <c r="C469" s="135"/>
      <c r="D469" s="135"/>
      <c r="E469" s="135"/>
      <c r="F469" s="135"/>
      <c r="G469" s="135"/>
      <c r="H469" s="135"/>
      <c r="I469" s="135"/>
      <c r="J469" s="135"/>
      <c r="K469" s="141"/>
      <c r="L469" s="141"/>
      <c r="M469" s="141"/>
      <c r="N469" s="209"/>
      <c r="O469" s="142"/>
      <c r="P469" s="143"/>
      <c r="Q469" s="143"/>
      <c r="R469" s="137"/>
      <c r="S469" s="105"/>
    </row>
    <row r="470" spans="1:19" s="106" customFormat="1" ht="15" customHeight="1">
      <c r="A470" s="101"/>
      <c r="B470" s="144"/>
      <c r="C470" s="144"/>
      <c r="D470" s="144"/>
      <c r="E470" s="144"/>
      <c r="F470" s="135"/>
      <c r="G470" s="135"/>
      <c r="H470" s="135"/>
      <c r="I470" s="135"/>
      <c r="J470" s="135"/>
      <c r="K470" s="338" t="s">
        <v>60</v>
      </c>
      <c r="L470" s="338"/>
      <c r="M470" s="338"/>
      <c r="N470" s="209"/>
      <c r="O470" s="338"/>
      <c r="P470" s="338"/>
      <c r="Q470" s="338"/>
      <c r="R470" s="145"/>
      <c r="S470" s="105"/>
    </row>
    <row r="471" spans="1:19" s="106" customFormat="1" ht="15" customHeight="1">
      <c r="A471" s="101"/>
      <c r="B471" s="144"/>
      <c r="C471" s="144"/>
      <c r="D471" s="144"/>
      <c r="E471" s="144"/>
      <c r="F471" s="135"/>
      <c r="G471" s="135"/>
      <c r="H471" s="135"/>
      <c r="I471" s="135"/>
      <c r="J471" s="135"/>
      <c r="K471" s="339" t="s">
        <v>126</v>
      </c>
      <c r="L471" s="339"/>
      <c r="M471" s="339"/>
      <c r="N471" s="209"/>
      <c r="O471" s="339"/>
      <c r="P471" s="339"/>
      <c r="Q471" s="339"/>
      <c r="R471" s="137"/>
      <c r="S471" s="105"/>
    </row>
    <row r="472" spans="1:19" s="106" customFormat="1" ht="15" customHeight="1">
      <c r="A472" s="101"/>
      <c r="B472" s="144"/>
      <c r="C472" s="144"/>
      <c r="D472" s="144"/>
      <c r="E472" s="144"/>
      <c r="F472" s="135"/>
      <c r="G472" s="135"/>
      <c r="H472" s="135"/>
      <c r="I472" s="135"/>
      <c r="J472" s="135"/>
      <c r="K472" s="339" t="s">
        <v>125</v>
      </c>
      <c r="L472" s="339"/>
      <c r="M472" s="339"/>
      <c r="N472" s="209"/>
      <c r="O472" s="339"/>
      <c r="P472" s="339"/>
      <c r="Q472" s="339"/>
      <c r="R472" s="137"/>
      <c r="S472" s="105"/>
    </row>
    <row r="473" spans="1:19" s="147" customFormat="1" ht="15" customHeight="1">
      <c r="A473" s="96"/>
      <c r="B473" s="337"/>
      <c r="C473" s="337"/>
      <c r="D473" s="337"/>
      <c r="E473" s="337"/>
      <c r="F473" s="337"/>
      <c r="G473" s="337"/>
      <c r="H473" s="337"/>
      <c r="I473" s="337"/>
      <c r="J473" s="337"/>
      <c r="K473" s="337"/>
      <c r="L473" s="337"/>
      <c r="M473" s="337"/>
      <c r="N473" s="337"/>
      <c r="O473" s="337"/>
      <c r="P473" s="337"/>
      <c r="Q473" s="337"/>
      <c r="R473" s="146"/>
      <c r="S473" s="96"/>
    </row>
    <row r="474" spans="2:17" ht="15" customHeight="1">
      <c r="B474" s="336"/>
      <c r="C474" s="336"/>
      <c r="D474" s="336"/>
      <c r="E474" s="336"/>
      <c r="F474" s="336"/>
      <c r="G474" s="336"/>
      <c r="H474" s="336"/>
      <c r="I474" s="336"/>
      <c r="J474" s="336"/>
      <c r="K474" s="336"/>
      <c r="L474" s="336"/>
      <c r="M474" s="336"/>
      <c r="N474" s="336"/>
      <c r="O474" s="336"/>
      <c r="P474" s="336"/>
      <c r="Q474" s="336"/>
    </row>
    <row r="475" spans="2:17" ht="39.75" customHeight="1">
      <c r="B475" s="336"/>
      <c r="C475" s="336"/>
      <c r="D475" s="336"/>
      <c r="E475" s="336"/>
      <c r="F475" s="336"/>
      <c r="G475" s="336"/>
      <c r="H475" s="336"/>
      <c r="I475" s="336"/>
      <c r="J475" s="336"/>
      <c r="K475" s="336"/>
      <c r="L475" s="336"/>
      <c r="M475" s="336"/>
      <c r="N475" s="336"/>
      <c r="O475" s="336"/>
      <c r="P475" s="336"/>
      <c r="Q475" s="336"/>
    </row>
    <row r="476" spans="2:17" ht="12.75">
      <c r="B476" s="329"/>
      <c r="C476" s="329"/>
      <c r="D476" s="329"/>
      <c r="E476" s="329"/>
      <c r="F476" s="329"/>
      <c r="G476" s="329"/>
      <c r="H476" s="329"/>
      <c r="I476" s="329"/>
      <c r="J476" s="329"/>
      <c r="K476" s="329"/>
      <c r="L476" s="329"/>
      <c r="M476" s="329"/>
      <c r="N476" s="329"/>
      <c r="O476" s="329"/>
      <c r="P476" s="329"/>
      <c r="Q476" s="329"/>
    </row>
    <row r="477" ht="12.75">
      <c r="Q477" s="152"/>
    </row>
    <row r="480" ht="12.75">
      <c r="Q480" s="153"/>
    </row>
    <row r="481" ht="12.75">
      <c r="Q481" s="153"/>
    </row>
  </sheetData>
  <sheetProtection/>
  <mergeCells count="486">
    <mergeCell ref="C95:K95"/>
    <mergeCell ref="C97:K97"/>
    <mergeCell ref="C134:K134"/>
    <mergeCell ref="C94:K94"/>
    <mergeCell ref="C34:K34"/>
    <mergeCell ref="C35:K35"/>
    <mergeCell ref="C36:K36"/>
    <mergeCell ref="C37:K37"/>
    <mergeCell ref="C39:K39"/>
    <mergeCell ref="C40:K40"/>
    <mergeCell ref="C41:K41"/>
    <mergeCell ref="C42:K42"/>
    <mergeCell ref="C266:K266"/>
    <mergeCell ref="C438:K438"/>
    <mergeCell ref="C440:K440"/>
    <mergeCell ref="C437:K437"/>
    <mergeCell ref="C356:K356"/>
    <mergeCell ref="C276:K276"/>
    <mergeCell ref="C256:K256"/>
    <mergeCell ref="C258:K258"/>
    <mergeCell ref="C260:K260"/>
    <mergeCell ref="C262:K262"/>
    <mergeCell ref="C458:K458"/>
    <mergeCell ref="C278:K278"/>
    <mergeCell ref="C183:K183"/>
    <mergeCell ref="C184:K184"/>
    <mergeCell ref="C213:K213"/>
    <mergeCell ref="C220:K220"/>
    <mergeCell ref="C221:K221"/>
    <mergeCell ref="C222:K222"/>
    <mergeCell ref="C223:K223"/>
    <mergeCell ref="C224:K224"/>
    <mergeCell ref="C144:K144"/>
    <mergeCell ref="C199:K199"/>
    <mergeCell ref="C200:K200"/>
    <mergeCell ref="C201:K201"/>
    <mergeCell ref="C190:K190"/>
    <mergeCell ref="C191:K191"/>
    <mergeCell ref="C192:K192"/>
    <mergeCell ref="C193:K193"/>
    <mergeCell ref="C146:K146"/>
    <mergeCell ref="C149:K149"/>
    <mergeCell ref="C322:K322"/>
    <mergeCell ref="C328:K328"/>
    <mergeCell ref="C330:K330"/>
    <mergeCell ref="C236:K236"/>
    <mergeCell ref="C244:K244"/>
    <mergeCell ref="C248:K248"/>
    <mergeCell ref="C202:K202"/>
    <mergeCell ref="C203:K203"/>
    <mergeCell ref="C254:K254"/>
    <mergeCell ref="C145:K145"/>
    <mergeCell ref="S9:S11"/>
    <mergeCell ref="C365:K365"/>
    <mergeCell ref="C366:K366"/>
    <mergeCell ref="C358:K358"/>
    <mergeCell ref="C359:K359"/>
    <mergeCell ref="C361:K361"/>
    <mergeCell ref="C362:K362"/>
    <mergeCell ref="C360:K360"/>
    <mergeCell ref="C363:K363"/>
    <mergeCell ref="C133:K133"/>
    <mergeCell ref="C143:K143"/>
    <mergeCell ref="C135:K135"/>
    <mergeCell ref="C109:K109"/>
    <mergeCell ref="C113:K113"/>
    <mergeCell ref="C141:K141"/>
    <mergeCell ref="C114:K114"/>
    <mergeCell ref="C116:K116"/>
    <mergeCell ref="C118:K118"/>
    <mergeCell ref="C131:K131"/>
    <mergeCell ref="C112:K112"/>
    <mergeCell ref="C115:K115"/>
    <mergeCell ref="C128:K128"/>
    <mergeCell ref="C132:K132"/>
    <mergeCell ref="C329:K329"/>
    <mergeCell ref="C100:K100"/>
    <mergeCell ref="C117:K117"/>
    <mergeCell ref="C119:K119"/>
    <mergeCell ref="C147:K147"/>
    <mergeCell ref="C152:K152"/>
    <mergeCell ref="C106:K106"/>
    <mergeCell ref="C107:K107"/>
    <mergeCell ref="C108:K108"/>
    <mergeCell ref="C110:K110"/>
    <mergeCell ref="C217:K217"/>
    <mergeCell ref="C218:K218"/>
    <mergeCell ref="C219:K219"/>
    <mergeCell ref="C230:K230"/>
    <mergeCell ref="C421:K421"/>
    <mergeCell ref="C420:K420"/>
    <mergeCell ref="C208:K208"/>
    <mergeCell ref="C209:K209"/>
    <mergeCell ref="C210:K210"/>
    <mergeCell ref="C211:K211"/>
    <mergeCell ref="C212:K212"/>
    <mergeCell ref="C214:K214"/>
    <mergeCell ref="C215:K215"/>
    <mergeCell ref="C216:K216"/>
    <mergeCell ref="C195:K195"/>
    <mergeCell ref="C196:K196"/>
    <mergeCell ref="C197:K197"/>
    <mergeCell ref="C198:K198"/>
    <mergeCell ref="C163:K163"/>
    <mergeCell ref="C159:K159"/>
    <mergeCell ref="C164:K164"/>
    <mergeCell ref="C165:K165"/>
    <mergeCell ref="C459:K459"/>
    <mergeCell ref="C465:K465"/>
    <mergeCell ref="C91:K91"/>
    <mergeCell ref="C92:K92"/>
    <mergeCell ref="C93:K93"/>
    <mergeCell ref="C181:K181"/>
    <mergeCell ref="C136:K136"/>
    <mergeCell ref="C137:K137"/>
    <mergeCell ref="C138:K138"/>
    <mergeCell ref="C175:K175"/>
    <mergeCell ref="C460:K460"/>
    <mergeCell ref="B473:Q473"/>
    <mergeCell ref="O470:Q470"/>
    <mergeCell ref="O471:Q471"/>
    <mergeCell ref="O472:Q472"/>
    <mergeCell ref="K470:M470"/>
    <mergeCell ref="K471:M471"/>
    <mergeCell ref="K472:M472"/>
    <mergeCell ref="N466:Q466"/>
    <mergeCell ref="B476:Q476"/>
    <mergeCell ref="C462:K462"/>
    <mergeCell ref="C463:K463"/>
    <mergeCell ref="L459:N459"/>
    <mergeCell ref="B466:M466"/>
    <mergeCell ref="B467:Q467"/>
    <mergeCell ref="B474:Q474"/>
    <mergeCell ref="B475:Q475"/>
    <mergeCell ref="C464:K464"/>
    <mergeCell ref="C461:K461"/>
    <mergeCell ref="C33:K33"/>
    <mergeCell ref="C85:K85"/>
    <mergeCell ref="C78:K78"/>
    <mergeCell ref="C80:K80"/>
    <mergeCell ref="C68:K68"/>
    <mergeCell ref="C70:K70"/>
    <mergeCell ref="C44:K44"/>
    <mergeCell ref="C43:K43"/>
    <mergeCell ref="C38:K38"/>
    <mergeCell ref="C45:K45"/>
    <mergeCell ref="C46:K46"/>
    <mergeCell ref="C47:K47"/>
    <mergeCell ref="C48:K48"/>
    <mergeCell ref="C84:K84"/>
    <mergeCell ref="C185:K185"/>
    <mergeCell ref="C186:K186"/>
    <mergeCell ref="C187:K187"/>
    <mergeCell ref="C155:K155"/>
    <mergeCell ref="C157:K157"/>
    <mergeCell ref="C139:K139"/>
    <mergeCell ref="C140:K140"/>
    <mergeCell ref="C142:K142"/>
    <mergeCell ref="C151:K151"/>
    <mergeCell ref="C79:K79"/>
    <mergeCell ref="C81:K81"/>
    <mergeCell ref="C82:K82"/>
    <mergeCell ref="C83:K83"/>
    <mergeCell ref="C66:K66"/>
    <mergeCell ref="C20:K20"/>
    <mergeCell ref="C21:K21"/>
    <mergeCell ref="C19:K19"/>
    <mergeCell ref="C23:K23"/>
    <mergeCell ref="C24:K24"/>
    <mergeCell ref="C30:K30"/>
    <mergeCell ref="C31:K31"/>
    <mergeCell ref="C32:K32"/>
    <mergeCell ref="C51:K51"/>
    <mergeCell ref="C69:K69"/>
    <mergeCell ref="C77:K77"/>
    <mergeCell ref="C15:K15"/>
    <mergeCell ref="C17:K17"/>
    <mergeCell ref="C71:K71"/>
    <mergeCell ref="C72:K72"/>
    <mergeCell ref="C73:K73"/>
    <mergeCell ref="C74:K74"/>
    <mergeCell ref="C75:K75"/>
    <mergeCell ref="C76:K76"/>
    <mergeCell ref="F2:O2"/>
    <mergeCell ref="F3:I3"/>
    <mergeCell ref="C65:K65"/>
    <mergeCell ref="C67:K67"/>
    <mergeCell ref="C22:K22"/>
    <mergeCell ref="C26:K26"/>
    <mergeCell ref="C27:K27"/>
    <mergeCell ref="C28:K28"/>
    <mergeCell ref="C50:K50"/>
    <mergeCell ref="C49:K49"/>
    <mergeCell ref="C14:K14"/>
    <mergeCell ref="B1:Q1"/>
    <mergeCell ref="C7:K7"/>
    <mergeCell ref="C8:K8"/>
    <mergeCell ref="B3:E3"/>
    <mergeCell ref="B2:E2"/>
    <mergeCell ref="M4:M5"/>
    <mergeCell ref="B4:B5"/>
    <mergeCell ref="C4:K5"/>
    <mergeCell ref="L4:L5"/>
    <mergeCell ref="C16:K16"/>
    <mergeCell ref="C53:K53"/>
    <mergeCell ref="C54:K54"/>
    <mergeCell ref="C59:K59"/>
    <mergeCell ref="C18:K18"/>
    <mergeCell ref="C55:K55"/>
    <mergeCell ref="C57:K57"/>
    <mergeCell ref="C25:K25"/>
    <mergeCell ref="C29:K29"/>
    <mergeCell ref="C58:K58"/>
    <mergeCell ref="C52:K52"/>
    <mergeCell ref="C56:K56"/>
    <mergeCell ref="C64:K64"/>
    <mergeCell ref="C62:K62"/>
    <mergeCell ref="C61:K61"/>
    <mergeCell ref="C60:K60"/>
    <mergeCell ref="C63:K63"/>
    <mergeCell ref="R4:R5"/>
    <mergeCell ref="C6:P6"/>
    <mergeCell ref="C13:P13"/>
    <mergeCell ref="C9:K9"/>
    <mergeCell ref="C10:K10"/>
    <mergeCell ref="C11:K11"/>
    <mergeCell ref="N4:Q4"/>
    <mergeCell ref="C12:K12"/>
    <mergeCell ref="C242:K242"/>
    <mergeCell ref="C243:K243"/>
    <mergeCell ref="C105:K105"/>
    <mergeCell ref="C154:K154"/>
    <mergeCell ref="C180:K180"/>
    <mergeCell ref="C177:K177"/>
    <mergeCell ref="C179:K179"/>
    <mergeCell ref="C160:K160"/>
    <mergeCell ref="C161:K161"/>
    <mergeCell ref="C162:K162"/>
    <mergeCell ref="C98:K98"/>
    <mergeCell ref="C99:K99"/>
    <mergeCell ref="C150:P150"/>
    <mergeCell ref="C153:K153"/>
    <mergeCell ref="C103:K103"/>
    <mergeCell ref="C104:K104"/>
    <mergeCell ref="C130:K130"/>
    <mergeCell ref="C120:K120"/>
    <mergeCell ref="C129:K129"/>
    <mergeCell ref="C111:K111"/>
    <mergeCell ref="C436:K436"/>
    <mergeCell ref="C439:K439"/>
    <mergeCell ref="C88:K88"/>
    <mergeCell ref="C89:K89"/>
    <mergeCell ref="C90:K90"/>
    <mergeCell ref="C101:K101"/>
    <mergeCell ref="C102:K102"/>
    <mergeCell ref="C383:K383"/>
    <mergeCell ref="C382:K382"/>
    <mergeCell ref="C381:K381"/>
    <mergeCell ref="C441:K441"/>
    <mergeCell ref="C443:K443"/>
    <mergeCell ref="C445:K445"/>
    <mergeCell ref="C447:K447"/>
    <mergeCell ref="C442:K442"/>
    <mergeCell ref="C444:K444"/>
    <mergeCell ref="C456:K456"/>
    <mergeCell ref="C446:K446"/>
    <mergeCell ref="C448:K448"/>
    <mergeCell ref="C450:K450"/>
    <mergeCell ref="C452:K452"/>
    <mergeCell ref="C454:K454"/>
    <mergeCell ref="C449:K449"/>
    <mergeCell ref="C451:K451"/>
    <mergeCell ref="C455:K455"/>
    <mergeCell ref="C453:K453"/>
    <mergeCell ref="C431:K431"/>
    <mergeCell ref="C433:K433"/>
    <mergeCell ref="C434:K434"/>
    <mergeCell ref="C435:K435"/>
    <mergeCell ref="C432:K432"/>
    <mergeCell ref="C283:K283"/>
    <mergeCell ref="C425:K425"/>
    <mergeCell ref="C427:K427"/>
    <mergeCell ref="C429:K429"/>
    <mergeCell ref="C426:K426"/>
    <mergeCell ref="C428:K428"/>
    <mergeCell ref="C379:K379"/>
    <mergeCell ref="C371:P371"/>
    <mergeCell ref="C378:K378"/>
    <mergeCell ref="C419:K419"/>
    <mergeCell ref="C457:K457"/>
    <mergeCell ref="C182:K182"/>
    <mergeCell ref="C237:K237"/>
    <mergeCell ref="C267:K267"/>
    <mergeCell ref="C269:K269"/>
    <mergeCell ref="C271:K271"/>
    <mergeCell ref="C273:K273"/>
    <mergeCell ref="C275:K275"/>
    <mergeCell ref="C296:K296"/>
    <mergeCell ref="C268:K268"/>
    <mergeCell ref="C257:K257"/>
    <mergeCell ref="C297:K297"/>
    <mergeCell ref="C299:K299"/>
    <mergeCell ref="C252:K252"/>
    <mergeCell ref="C291:K291"/>
    <mergeCell ref="C270:K270"/>
    <mergeCell ref="C272:K272"/>
    <mergeCell ref="C277:K277"/>
    <mergeCell ref="C279:K279"/>
    <mergeCell ref="C280:K280"/>
    <mergeCell ref="C392:K392"/>
    <mergeCell ref="C204:K204"/>
    <mergeCell ref="C205:K205"/>
    <mergeCell ref="C206:K206"/>
    <mergeCell ref="C207:K207"/>
    <mergeCell ref="C285:K285"/>
    <mergeCell ref="C286:K286"/>
    <mergeCell ref="C284:K284"/>
    <mergeCell ref="C240:K240"/>
    <mergeCell ref="C287:K287"/>
    <mergeCell ref="C345:K345"/>
    <mergeCell ref="C346:K346"/>
    <mergeCell ref="C370:K370"/>
    <mergeCell ref="C380:K380"/>
    <mergeCell ref="C347:K347"/>
    <mergeCell ref="C348:K348"/>
    <mergeCell ref="C349:K349"/>
    <mergeCell ref="C350:K350"/>
    <mergeCell ref="C351:K351"/>
    <mergeCell ref="C367:K367"/>
    <mergeCell ref="C341:K341"/>
    <mergeCell ref="C342:K342"/>
    <mergeCell ref="C343:K343"/>
    <mergeCell ref="C344:K344"/>
    <mergeCell ref="C337:K337"/>
    <mergeCell ref="C338:K338"/>
    <mergeCell ref="C339:K339"/>
    <mergeCell ref="C340:K340"/>
    <mergeCell ref="C327:K327"/>
    <mergeCell ref="C422:K422"/>
    <mergeCell ref="C424:K424"/>
    <mergeCell ref="C423:K423"/>
    <mergeCell ref="C331:K331"/>
    <mergeCell ref="C333:K333"/>
    <mergeCell ref="C334:K334"/>
    <mergeCell ref="C332:K332"/>
    <mergeCell ref="C335:K335"/>
    <mergeCell ref="C336:K336"/>
    <mergeCell ref="C430:K430"/>
    <mergeCell ref="C289:K289"/>
    <mergeCell ref="C290:K290"/>
    <mergeCell ref="C298:K298"/>
    <mergeCell ref="C300:K300"/>
    <mergeCell ref="C306:K306"/>
    <mergeCell ref="C399:K399"/>
    <mergeCell ref="C317:K317"/>
    <mergeCell ref="C318:K318"/>
    <mergeCell ref="C292:K292"/>
    <mergeCell ref="C126:K126"/>
    <mergeCell ref="C176:K176"/>
    <mergeCell ref="C169:K169"/>
    <mergeCell ref="C173:K173"/>
    <mergeCell ref="C170:K170"/>
    <mergeCell ref="C158:K158"/>
    <mergeCell ref="C156:K156"/>
    <mergeCell ref="C166:K166"/>
    <mergeCell ref="C171:K171"/>
    <mergeCell ref="C168:K168"/>
    <mergeCell ref="C86:K86"/>
    <mergeCell ref="C96:K96"/>
    <mergeCell ref="C148:K148"/>
    <mergeCell ref="C87:K87"/>
    <mergeCell ref="C121:K121"/>
    <mergeCell ref="C123:K123"/>
    <mergeCell ref="C122:K122"/>
    <mergeCell ref="C124:K124"/>
    <mergeCell ref="C125:K125"/>
    <mergeCell ref="C127:K127"/>
    <mergeCell ref="C228:K228"/>
    <mergeCell ref="C229:K229"/>
    <mergeCell ref="C238:K238"/>
    <mergeCell ref="C235:K235"/>
    <mergeCell ref="C231:K231"/>
    <mergeCell ref="C232:K232"/>
    <mergeCell ref="C233:K233"/>
    <mergeCell ref="C234:K234"/>
    <mergeCell ref="C167:K167"/>
    <mergeCell ref="C225:K225"/>
    <mergeCell ref="C226:K226"/>
    <mergeCell ref="C227:K227"/>
    <mergeCell ref="C188:K188"/>
    <mergeCell ref="C189:K189"/>
    <mergeCell ref="C178:K178"/>
    <mergeCell ref="C172:K172"/>
    <mergeCell ref="C174:K174"/>
    <mergeCell ref="C194:K194"/>
    <mergeCell ref="C239:K239"/>
    <mergeCell ref="C264:K264"/>
    <mergeCell ref="C253:K253"/>
    <mergeCell ref="C246:K246"/>
    <mergeCell ref="C241:K241"/>
    <mergeCell ref="C247:K247"/>
    <mergeCell ref="C249:K249"/>
    <mergeCell ref="C245:K245"/>
    <mergeCell ref="C251:K251"/>
    <mergeCell ref="C255:K255"/>
    <mergeCell ref="C308:K308"/>
    <mergeCell ref="C307:K307"/>
    <mergeCell ref="C309:K309"/>
    <mergeCell ref="C250:K250"/>
    <mergeCell ref="C259:K259"/>
    <mergeCell ref="C261:K261"/>
    <mergeCell ref="C263:K263"/>
    <mergeCell ref="C265:K265"/>
    <mergeCell ref="C293:K293"/>
    <mergeCell ref="C294:K294"/>
    <mergeCell ref="C319:K319"/>
    <mergeCell ref="C320:K320"/>
    <mergeCell ref="C310:K310"/>
    <mergeCell ref="C311:K311"/>
    <mergeCell ref="C312:K312"/>
    <mergeCell ref="C313:K313"/>
    <mergeCell ref="C314:K314"/>
    <mergeCell ref="C315:K315"/>
    <mergeCell ref="C316:K316"/>
    <mergeCell ref="C321:K321"/>
    <mergeCell ref="C324:K324"/>
    <mergeCell ref="C325:K325"/>
    <mergeCell ref="C326:K326"/>
    <mergeCell ref="C323:K323"/>
    <mergeCell ref="C274:K274"/>
    <mergeCell ref="C304:K304"/>
    <mergeCell ref="C305:K305"/>
    <mergeCell ref="C301:K301"/>
    <mergeCell ref="C295:K295"/>
    <mergeCell ref="C302:K302"/>
    <mergeCell ref="C303:K303"/>
    <mergeCell ref="C288:K288"/>
    <mergeCell ref="C281:K281"/>
    <mergeCell ref="C282:K282"/>
    <mergeCell ref="C411:K411"/>
    <mergeCell ref="C417:K417"/>
    <mergeCell ref="C401:K401"/>
    <mergeCell ref="C415:K415"/>
    <mergeCell ref="C413:K413"/>
    <mergeCell ref="C409:K409"/>
    <mergeCell ref="C410:K410"/>
    <mergeCell ref="C412:K412"/>
    <mergeCell ref="C414:K414"/>
    <mergeCell ref="C416:K416"/>
    <mergeCell ref="C403:K403"/>
    <mergeCell ref="C408:K408"/>
    <mergeCell ref="C397:K397"/>
    <mergeCell ref="C395:K395"/>
    <mergeCell ref="C418:K418"/>
    <mergeCell ref="C394:K394"/>
    <mergeCell ref="C396:K396"/>
    <mergeCell ref="C398:K398"/>
    <mergeCell ref="C400:K400"/>
    <mergeCell ref="C404:K404"/>
    <mergeCell ref="C406:K406"/>
    <mergeCell ref="C405:K405"/>
    <mergeCell ref="C407:K407"/>
    <mergeCell ref="C402:K402"/>
    <mergeCell ref="C391:K391"/>
    <mergeCell ref="C368:K368"/>
    <mergeCell ref="C369:K369"/>
    <mergeCell ref="C357:K357"/>
    <mergeCell ref="C364:K364"/>
    <mergeCell ref="C387:K387"/>
    <mergeCell ref="C388:K388"/>
    <mergeCell ref="C389:K389"/>
    <mergeCell ref="C390:K390"/>
    <mergeCell ref="C373:K373"/>
    <mergeCell ref="C372:K372"/>
    <mergeCell ref="C385:K385"/>
    <mergeCell ref="C386:K386"/>
    <mergeCell ref="C374:K374"/>
    <mergeCell ref="C393:K393"/>
    <mergeCell ref="C384:K384"/>
    <mergeCell ref="C352:K352"/>
    <mergeCell ref="C353:K353"/>
    <mergeCell ref="C354:K354"/>
    <mergeCell ref="C355:K355"/>
    <mergeCell ref="C375:K375"/>
    <mergeCell ref="C376:K376"/>
    <mergeCell ref="C377:K377"/>
  </mergeCells>
  <printOptions horizontalCentered="1"/>
  <pageMargins left="0.5905511811023623" right="0.5905511811023623" top="1.3779527559055118" bottom="0.5905511811023623" header="0.1968503937007874" footer="0.31496062992125984"/>
  <pageSetup fitToHeight="20" fitToWidth="1" horizontalDpi="600" verticalDpi="600" orientation="landscape" paperSize="9" scale="70" r:id="rId2"/>
  <headerFooter alignWithMargins="0">
    <oddHeader>&amp;L&amp;G</oddHeader>
    <oddFooter>&amp;C&amp;P/&amp;N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3"/>
  <sheetViews>
    <sheetView zoomScale="107" zoomScaleNormal="107" zoomScalePageLayoutView="0" workbookViewId="0" topLeftCell="A1">
      <selection activeCell="B19" sqref="B19"/>
    </sheetView>
  </sheetViews>
  <sheetFormatPr defaultColWidth="9.140625" defaultRowHeight="12.75"/>
  <cols>
    <col min="1" max="1" width="8.421875" style="8" bestFit="1" customWidth="1"/>
    <col min="2" max="2" width="64.140625" style="0" bestFit="1" customWidth="1"/>
    <col min="3" max="3" width="13.57421875" style="0" bestFit="1" customWidth="1"/>
    <col min="4" max="4" width="8.140625" style="0" bestFit="1" customWidth="1"/>
    <col min="5" max="6" width="12.421875" style="0" bestFit="1" customWidth="1"/>
    <col min="7" max="7" width="13.57421875" style="0" bestFit="1" customWidth="1"/>
    <col min="8" max="10" width="13.57421875" style="0" customWidth="1"/>
    <col min="11" max="16" width="13.57421875" style="0" hidden="1" customWidth="1"/>
    <col min="17" max="17" width="7.140625" style="0" hidden="1" customWidth="1"/>
    <col min="18" max="18" width="4.28125" style="0" customWidth="1"/>
  </cols>
  <sheetData>
    <row r="1" spans="1:24" s="1" customFormat="1" ht="30" customHeight="1" thickBot="1">
      <c r="A1" s="358" t="s">
        <v>83</v>
      </c>
      <c r="B1" s="359"/>
      <c r="C1" s="359"/>
      <c r="D1" s="359"/>
      <c r="E1" s="359"/>
      <c r="F1" s="359"/>
      <c r="G1" s="359"/>
      <c r="H1" s="359"/>
      <c r="I1" s="359"/>
      <c r="J1" s="360"/>
      <c r="K1" s="63"/>
      <c r="L1" s="63"/>
      <c r="M1" s="63"/>
      <c r="N1" s="63"/>
      <c r="O1" s="63"/>
      <c r="P1" s="64"/>
      <c r="Q1" s="6"/>
      <c r="R1" s="7"/>
      <c r="S1" s="7"/>
      <c r="T1" s="7"/>
      <c r="U1" s="7"/>
      <c r="V1" s="7"/>
      <c r="W1" s="7"/>
      <c r="X1" s="7"/>
    </row>
    <row r="2" spans="1:24" s="1" customFormat="1" ht="19.5" customHeight="1" thickBot="1">
      <c r="A2" s="9" t="s">
        <v>96</v>
      </c>
      <c r="B2" s="361" t="str">
        <f>'PLANILHA Fase I'!F2</f>
        <v>SAE ITUIUTABA/MG - AMPLIAÇÃO DE CAPTAÇÃO DO RIO TIJUCO E ADUÇÃO DE ÁGUA BRUTA</v>
      </c>
      <c r="C2" s="362"/>
      <c r="D2" s="362"/>
      <c r="E2" s="362"/>
      <c r="F2" s="362"/>
      <c r="G2" s="362"/>
      <c r="H2" s="362"/>
      <c r="I2" s="362"/>
      <c r="J2" s="363"/>
      <c r="K2" s="65"/>
      <c r="L2" s="65"/>
      <c r="M2" s="65"/>
      <c r="N2" s="65"/>
      <c r="O2" s="65"/>
      <c r="P2" s="66"/>
      <c r="Q2" s="7"/>
      <c r="R2" s="7"/>
      <c r="S2" s="7"/>
      <c r="T2" s="7"/>
      <c r="U2" s="7"/>
      <c r="V2" s="7"/>
      <c r="W2" s="7"/>
      <c r="X2" s="7"/>
    </row>
    <row r="3" spans="1:24" s="1" customFormat="1" ht="19.5" customHeight="1" thickBot="1">
      <c r="A3" s="9" t="s">
        <v>97</v>
      </c>
      <c r="B3" s="67" t="s">
        <v>596</v>
      </c>
      <c r="C3" s="67"/>
      <c r="D3" s="67"/>
      <c r="E3" s="67"/>
      <c r="F3" s="67"/>
      <c r="G3" s="67"/>
      <c r="H3" s="67"/>
      <c r="I3" s="24" t="s">
        <v>146</v>
      </c>
      <c r="J3" s="25">
        <f>'PLANILHA Fase I'!Q2</f>
        <v>42825</v>
      </c>
      <c r="K3" s="67"/>
      <c r="L3" s="67"/>
      <c r="M3" s="67"/>
      <c r="N3" s="67"/>
      <c r="O3" s="24" t="s">
        <v>146</v>
      </c>
      <c r="P3" s="25">
        <f>'PLANILHA Fase I'!Q2</f>
        <v>42825</v>
      </c>
      <c r="Q3" s="7"/>
      <c r="R3" s="7"/>
      <c r="S3" s="7"/>
      <c r="T3" s="7"/>
      <c r="U3" s="7"/>
      <c r="V3" s="7"/>
      <c r="W3" s="7"/>
      <c r="X3" s="7"/>
    </row>
    <row r="4" spans="1:24" s="1" customFormat="1" ht="19.5" customHeight="1" thickBot="1">
      <c r="A4" s="50" t="s">
        <v>74</v>
      </c>
      <c r="B4" s="51" t="s">
        <v>86</v>
      </c>
      <c r="C4" s="52" t="s">
        <v>84</v>
      </c>
      <c r="D4" s="52" t="s">
        <v>85</v>
      </c>
      <c r="E4" s="53" t="s">
        <v>87</v>
      </c>
      <c r="F4" s="51" t="s">
        <v>88</v>
      </c>
      <c r="G4" s="51" t="s">
        <v>89</v>
      </c>
      <c r="H4" s="51" t="s">
        <v>90</v>
      </c>
      <c r="I4" s="51" t="s">
        <v>91</v>
      </c>
      <c r="J4" s="54" t="s">
        <v>92</v>
      </c>
      <c r="K4" s="53" t="s">
        <v>244</v>
      </c>
      <c r="L4" s="51" t="s">
        <v>245</v>
      </c>
      <c r="M4" s="54" t="s">
        <v>246</v>
      </c>
      <c r="N4" s="51" t="s">
        <v>247</v>
      </c>
      <c r="O4" s="51" t="s">
        <v>248</v>
      </c>
      <c r="P4" s="54" t="s">
        <v>249</v>
      </c>
      <c r="Q4" s="7"/>
      <c r="R4" s="7"/>
      <c r="S4" s="7"/>
      <c r="T4" s="7"/>
      <c r="U4" s="7"/>
      <c r="V4" s="7"/>
      <c r="W4" s="7"/>
      <c r="X4" s="7"/>
    </row>
    <row r="5" spans="1:24" s="1" customFormat="1" ht="15" customHeight="1">
      <c r="A5" s="45">
        <f>'PLANILHA Fase I'!B6</f>
        <v>1</v>
      </c>
      <c r="B5" s="46" t="str">
        <f>'PLANILHA Fase I'!C6</f>
        <v>SERVIÇOS PRELIMINARES </v>
      </c>
      <c r="C5" s="47" t="e">
        <f>'PLANILHA Fase I'!Q6</f>
        <v>#REF!</v>
      </c>
      <c r="D5" s="48" t="e">
        <f>C5/$C$10</f>
        <v>#REF!</v>
      </c>
      <c r="E5" s="48" t="e">
        <f>1-J5</f>
        <v>#REF!</v>
      </c>
      <c r="F5" s="48"/>
      <c r="G5" s="48"/>
      <c r="H5" s="48"/>
      <c r="I5" s="48"/>
      <c r="J5" s="49" t="e">
        <f>ROUND(SUM('PLANILHA Fase I'!Q9:Q11)/2/'PLANILHA Fase I'!Q6,4)</f>
        <v>#REF!</v>
      </c>
      <c r="K5" s="69"/>
      <c r="L5" s="48"/>
      <c r="M5" s="48"/>
      <c r="N5" s="48"/>
      <c r="O5" s="48"/>
      <c r="P5" s="49"/>
      <c r="Q5" s="7"/>
      <c r="R5" s="12"/>
      <c r="S5" s="7"/>
      <c r="T5" s="7"/>
      <c r="U5" s="7"/>
      <c r="V5" s="7"/>
      <c r="W5" s="7"/>
      <c r="X5" s="7"/>
    </row>
    <row r="6" spans="1:24" s="1" customFormat="1" ht="15" customHeight="1">
      <c r="A6" s="22">
        <f>'PLANILHA Fase I'!B13</f>
        <v>2</v>
      </c>
      <c r="B6" s="13" t="str">
        <f>'PLANILHA Fase I'!C13</f>
        <v>AMPLIAÇÃO DA CAPTAÇÃO RIO TIJUCO</v>
      </c>
      <c r="C6" s="14" t="e">
        <f>'PLANILHA Fase I'!Q13</f>
        <v>#REF!</v>
      </c>
      <c r="D6" s="15" t="e">
        <f>C6/$C$10</f>
        <v>#REF!</v>
      </c>
      <c r="E6" s="15">
        <v>0.1</v>
      </c>
      <c r="F6" s="15">
        <v>0.15</v>
      </c>
      <c r="G6" s="15">
        <v>0.25</v>
      </c>
      <c r="H6" s="15">
        <v>0.25</v>
      </c>
      <c r="I6" s="15">
        <v>0.15</v>
      </c>
      <c r="J6" s="23">
        <v>0.1</v>
      </c>
      <c r="K6" s="70"/>
      <c r="L6" s="15"/>
      <c r="M6" s="15"/>
      <c r="N6" s="15"/>
      <c r="O6" s="15"/>
      <c r="P6" s="23"/>
      <c r="Q6" s="7"/>
      <c r="R6" s="12"/>
      <c r="S6" s="7"/>
      <c r="T6" s="7"/>
      <c r="U6" s="7"/>
      <c r="V6" s="7"/>
      <c r="W6" s="7"/>
      <c r="X6" s="7"/>
    </row>
    <row r="7" spans="1:24" s="1" customFormat="1" ht="15" customHeight="1">
      <c r="A7" s="22">
        <f>'PLANILHA Fase I'!B150</f>
        <v>3</v>
      </c>
      <c r="B7" s="13" t="str">
        <f>'PLANILHA Fase I'!C150</f>
        <v>AMPLIAÇÃO DA ADUTORA DE ÁGUA BRUTA - TIJUCO AO SÃO LOURENÇO</v>
      </c>
      <c r="C7" s="14" t="e">
        <f>'PLANILHA Fase I'!Q150</f>
        <v>#REF!</v>
      </c>
      <c r="D7" s="15" t="e">
        <f>C7/$C$10</f>
        <v>#REF!</v>
      </c>
      <c r="E7" s="15">
        <v>0.15</v>
      </c>
      <c r="F7" s="15">
        <v>0.15</v>
      </c>
      <c r="G7" s="15">
        <v>0.2</v>
      </c>
      <c r="H7" s="15">
        <v>0.2</v>
      </c>
      <c r="I7" s="15">
        <v>0.15</v>
      </c>
      <c r="J7" s="23">
        <v>0.15</v>
      </c>
      <c r="K7" s="70"/>
      <c r="L7" s="15"/>
      <c r="M7" s="15"/>
      <c r="N7" s="15"/>
      <c r="O7" s="15"/>
      <c r="P7" s="23"/>
      <c r="Q7" s="7"/>
      <c r="R7" s="12"/>
      <c r="S7" s="7"/>
      <c r="T7" s="7"/>
      <c r="U7" s="7"/>
      <c r="V7" s="7"/>
      <c r="W7" s="7"/>
      <c r="X7" s="7"/>
    </row>
    <row r="8" spans="1:24" s="1" customFormat="1" ht="15" customHeight="1">
      <c r="A8" s="22">
        <f>'PLANILHA Fase I'!B371</f>
        <v>4</v>
      </c>
      <c r="B8" s="13" t="str">
        <f>'PLANILHA Fase I'!C371</f>
        <v>CAPTAÇÃO SÃO LOURENÇO</v>
      </c>
      <c r="C8" s="14" t="e">
        <f>'PLANILHA Fase I'!Q371</f>
        <v>#REF!</v>
      </c>
      <c r="D8" s="15" t="e">
        <f>C8/$C$10</f>
        <v>#REF!</v>
      </c>
      <c r="E8" s="15"/>
      <c r="F8" s="15"/>
      <c r="G8" s="15"/>
      <c r="H8" s="15">
        <v>0.1</v>
      </c>
      <c r="I8" s="15">
        <v>0.5</v>
      </c>
      <c r="J8" s="23">
        <v>0.4</v>
      </c>
      <c r="K8" s="70"/>
      <c r="L8" s="15"/>
      <c r="M8" s="15"/>
      <c r="N8" s="15"/>
      <c r="O8" s="15"/>
      <c r="P8" s="23"/>
      <c r="Q8" s="7"/>
      <c r="R8" s="12"/>
      <c r="S8" s="7"/>
      <c r="T8" s="7"/>
      <c r="U8" s="7"/>
      <c r="V8" s="7"/>
      <c r="W8" s="7"/>
      <c r="X8" s="7"/>
    </row>
    <row r="9" spans="1:24" s="1" customFormat="1" ht="15" customHeight="1" thickBot="1">
      <c r="A9" s="41">
        <f>'PLANILHA Fase I'!B459</f>
        <v>5</v>
      </c>
      <c r="B9" s="42" t="str">
        <f>'PLANILHA Fase I'!C459</f>
        <v>ADMINISTRAÇÃO LOCAL DA OBRA</v>
      </c>
      <c r="C9" s="43" t="e">
        <f>'PLANILHA Fase I'!Q459</f>
        <v>#REF!</v>
      </c>
      <c r="D9" s="28" t="e">
        <f>C9/$C$10</f>
        <v>#REF!</v>
      </c>
      <c r="E9" s="28">
        <v>0.16</v>
      </c>
      <c r="F9" s="28">
        <v>0.17</v>
      </c>
      <c r="G9" s="28">
        <v>0.17</v>
      </c>
      <c r="H9" s="28">
        <v>0.17</v>
      </c>
      <c r="I9" s="28">
        <v>0.17</v>
      </c>
      <c r="J9" s="44">
        <v>0.16</v>
      </c>
      <c r="K9" s="71"/>
      <c r="L9" s="28"/>
      <c r="M9" s="28"/>
      <c r="N9" s="28"/>
      <c r="O9" s="28"/>
      <c r="P9" s="44"/>
      <c r="Q9" s="7"/>
      <c r="R9" s="12"/>
      <c r="S9" s="7"/>
      <c r="T9" s="7"/>
      <c r="U9" s="7"/>
      <c r="V9" s="7"/>
      <c r="W9" s="7"/>
      <c r="X9" s="7"/>
    </row>
    <row r="10" spans="1:24" s="17" customFormat="1" ht="19.5" customHeight="1" thickBot="1">
      <c r="A10" s="349"/>
      <c r="B10" s="352" t="s">
        <v>93</v>
      </c>
      <c r="C10" s="354" t="e">
        <f>SUM(C5:C9)</f>
        <v>#REF!</v>
      </c>
      <c r="D10" s="356" t="e">
        <f>SUM(D5:D9)</f>
        <v>#REF!</v>
      </c>
      <c r="E10" s="29" t="e">
        <f aca="true" t="shared" si="0" ref="E10:P10">$C$5*E5+$C$6*E6+$C$7*E7+$C$8*E8+$C$9*E9</f>
        <v>#REF!</v>
      </c>
      <c r="F10" s="30" t="e">
        <f t="shared" si="0"/>
        <v>#REF!</v>
      </c>
      <c r="G10" s="30" t="e">
        <f t="shared" si="0"/>
        <v>#REF!</v>
      </c>
      <c r="H10" s="30" t="e">
        <f t="shared" si="0"/>
        <v>#REF!</v>
      </c>
      <c r="I10" s="30" t="e">
        <f t="shared" si="0"/>
        <v>#REF!</v>
      </c>
      <c r="J10" s="31" t="e">
        <f t="shared" si="0"/>
        <v>#REF!</v>
      </c>
      <c r="K10" s="72" t="e">
        <f t="shared" si="0"/>
        <v>#REF!</v>
      </c>
      <c r="L10" s="30" t="e">
        <f t="shared" si="0"/>
        <v>#REF!</v>
      </c>
      <c r="M10" s="30" t="e">
        <f t="shared" si="0"/>
        <v>#REF!</v>
      </c>
      <c r="N10" s="30" t="e">
        <f t="shared" si="0"/>
        <v>#REF!</v>
      </c>
      <c r="O10" s="30" t="e">
        <f t="shared" si="0"/>
        <v>#REF!</v>
      </c>
      <c r="P10" s="31" t="e">
        <f t="shared" si="0"/>
        <v>#REF!</v>
      </c>
      <c r="Q10" s="16"/>
      <c r="R10" s="16"/>
      <c r="S10" s="16"/>
      <c r="T10" s="16"/>
      <c r="U10" s="16"/>
      <c r="V10" s="16"/>
      <c r="W10" s="16"/>
      <c r="X10" s="16"/>
    </row>
    <row r="11" spans="1:24" s="17" customFormat="1" ht="19.5" customHeight="1" thickBot="1">
      <c r="A11" s="350"/>
      <c r="B11" s="353"/>
      <c r="C11" s="355"/>
      <c r="D11" s="357"/>
      <c r="E11" s="33" t="e">
        <f aca="true" t="shared" si="1" ref="E11:P11">E10/$C$10</f>
        <v>#REF!</v>
      </c>
      <c r="F11" s="34" t="e">
        <f t="shared" si="1"/>
        <v>#REF!</v>
      </c>
      <c r="G11" s="34" t="e">
        <f t="shared" si="1"/>
        <v>#REF!</v>
      </c>
      <c r="H11" s="34" t="e">
        <f aca="true" t="shared" si="2" ref="H11:M11">H10/$C$10</f>
        <v>#REF!</v>
      </c>
      <c r="I11" s="34" t="e">
        <f t="shared" si="2"/>
        <v>#REF!</v>
      </c>
      <c r="J11" s="35" t="e">
        <f t="shared" si="2"/>
        <v>#REF!</v>
      </c>
      <c r="K11" s="73" t="e">
        <f t="shared" si="2"/>
        <v>#REF!</v>
      </c>
      <c r="L11" s="34" t="e">
        <f t="shared" si="2"/>
        <v>#REF!</v>
      </c>
      <c r="M11" s="34" t="e">
        <f t="shared" si="2"/>
        <v>#REF!</v>
      </c>
      <c r="N11" s="34" t="e">
        <f t="shared" si="1"/>
        <v>#REF!</v>
      </c>
      <c r="O11" s="34" t="e">
        <f t="shared" si="1"/>
        <v>#REF!</v>
      </c>
      <c r="P11" s="35" t="e">
        <f t="shared" si="1"/>
        <v>#REF!</v>
      </c>
      <c r="Q11" s="16"/>
      <c r="R11" s="16"/>
      <c r="S11" s="16"/>
      <c r="T11" s="16"/>
      <c r="U11" s="16"/>
      <c r="V11" s="16"/>
      <c r="W11" s="16"/>
      <c r="X11" s="16"/>
    </row>
    <row r="12" spans="1:24" s="17" customFormat="1" ht="19.5" customHeight="1" thickBot="1">
      <c r="A12" s="351"/>
      <c r="B12" s="60" t="s">
        <v>94</v>
      </c>
      <c r="C12" s="19" t="e">
        <f>C10</f>
        <v>#REF!</v>
      </c>
      <c r="D12" s="32" t="e">
        <f>D10</f>
        <v>#REF!</v>
      </c>
      <c r="E12" s="36" t="e">
        <f>E10</f>
        <v>#REF!</v>
      </c>
      <c r="F12" s="20" t="e">
        <f aca="true" t="shared" si="3" ref="F12:P12">E12+F10</f>
        <v>#REF!</v>
      </c>
      <c r="G12" s="20" t="e">
        <f t="shared" si="3"/>
        <v>#REF!</v>
      </c>
      <c r="H12" s="20" t="e">
        <f t="shared" si="3"/>
        <v>#REF!</v>
      </c>
      <c r="I12" s="20" t="e">
        <f t="shared" si="3"/>
        <v>#REF!</v>
      </c>
      <c r="J12" s="21" t="e">
        <f t="shared" si="3"/>
        <v>#REF!</v>
      </c>
      <c r="K12" s="74" t="e">
        <f t="shared" si="3"/>
        <v>#REF!</v>
      </c>
      <c r="L12" s="20" t="e">
        <f t="shared" si="3"/>
        <v>#REF!</v>
      </c>
      <c r="M12" s="20" t="e">
        <f t="shared" si="3"/>
        <v>#REF!</v>
      </c>
      <c r="N12" s="20" t="e">
        <f t="shared" si="3"/>
        <v>#REF!</v>
      </c>
      <c r="O12" s="20" t="e">
        <f t="shared" si="3"/>
        <v>#REF!</v>
      </c>
      <c r="P12" s="21" t="e">
        <f t="shared" si="3"/>
        <v>#REF!</v>
      </c>
      <c r="Q12" s="18"/>
      <c r="R12" s="18"/>
      <c r="S12" s="18"/>
      <c r="T12" s="18"/>
      <c r="U12" s="16"/>
      <c r="V12" s="16"/>
      <c r="W12" s="16"/>
      <c r="X12" s="16"/>
    </row>
    <row r="13" spans="1:16" s="4" customFormat="1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5"/>
      <c r="L13" s="5"/>
      <c r="M13" s="5"/>
      <c r="N13" s="5"/>
      <c r="O13" s="5"/>
      <c r="P13" s="5"/>
    </row>
    <row r="14" spans="1:16" s="4" customFormat="1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5"/>
      <c r="L14" s="5"/>
      <c r="M14" s="5"/>
      <c r="N14" s="5"/>
      <c r="O14" s="5"/>
      <c r="P14" s="5"/>
    </row>
    <row r="15" spans="1:18" s="4" customFormat="1" ht="1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2"/>
      <c r="L15" s="2"/>
      <c r="M15" s="2"/>
      <c r="N15" s="2"/>
      <c r="O15" s="2"/>
      <c r="P15" s="2"/>
      <c r="Q15" s="3"/>
      <c r="R15" s="3"/>
    </row>
    <row r="16" spans="1:18" s="4" customFormat="1" ht="12.75" customHeight="1">
      <c r="A16" s="38"/>
      <c r="B16" s="38"/>
      <c r="C16" s="348" t="s">
        <v>60</v>
      </c>
      <c r="D16" s="348"/>
      <c r="E16" s="348"/>
      <c r="F16" s="38"/>
      <c r="G16" s="347"/>
      <c r="H16" s="347"/>
      <c r="I16" s="347"/>
      <c r="J16" s="38"/>
      <c r="L16" s="347"/>
      <c r="M16" s="347"/>
      <c r="N16" s="347"/>
      <c r="O16" s="2"/>
      <c r="P16" s="2"/>
      <c r="Q16" s="3"/>
      <c r="R16" s="3"/>
    </row>
    <row r="17" spans="1:18" s="4" customFormat="1" ht="12.75" customHeight="1">
      <c r="A17" s="38"/>
      <c r="B17" s="38"/>
      <c r="C17" s="345" t="s">
        <v>126</v>
      </c>
      <c r="D17" s="345"/>
      <c r="E17" s="345"/>
      <c r="F17" s="38"/>
      <c r="G17" s="345"/>
      <c r="H17" s="345"/>
      <c r="I17" s="345"/>
      <c r="J17" s="38"/>
      <c r="L17" s="346"/>
      <c r="M17" s="346"/>
      <c r="N17" s="346"/>
      <c r="O17" s="2"/>
      <c r="P17" s="2"/>
      <c r="Q17" s="3"/>
      <c r="R17" s="3"/>
    </row>
    <row r="18" spans="1:18" s="4" customFormat="1" ht="12.75" customHeight="1">
      <c r="A18" s="38"/>
      <c r="B18" s="38"/>
      <c r="C18" s="345" t="s">
        <v>125</v>
      </c>
      <c r="D18" s="345"/>
      <c r="E18" s="345"/>
      <c r="F18" s="38"/>
      <c r="G18" s="345"/>
      <c r="H18" s="345"/>
      <c r="I18" s="345"/>
      <c r="J18" s="38"/>
      <c r="L18" s="346"/>
      <c r="M18" s="346"/>
      <c r="N18" s="346"/>
      <c r="O18" s="2"/>
      <c r="P18" s="2"/>
      <c r="Q18" s="3"/>
      <c r="R18" s="3"/>
    </row>
    <row r="19" spans="1:18" s="4" customFormat="1" ht="1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2"/>
      <c r="L19" s="2"/>
      <c r="M19" s="2"/>
      <c r="N19" s="2"/>
      <c r="O19" s="2"/>
      <c r="P19" s="2"/>
      <c r="Q19" s="3"/>
      <c r="R19" s="3"/>
    </row>
    <row r="20" spans="1:18" s="4" customFormat="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3"/>
      <c r="R20" s="3"/>
    </row>
    <row r="21" spans="1:24" ht="12.75" customHeight="1">
      <c r="A21" s="2"/>
      <c r="B21" s="2"/>
      <c r="C21" s="2"/>
      <c r="D21" s="2"/>
      <c r="E21" s="2"/>
      <c r="F21" s="2"/>
      <c r="G21" s="75"/>
      <c r="H21" s="2"/>
      <c r="I21" s="2"/>
      <c r="J21" s="2"/>
      <c r="K21" s="2"/>
      <c r="L21" s="2"/>
      <c r="M21" s="2"/>
      <c r="N21" s="2"/>
      <c r="O21" s="2"/>
      <c r="P21" s="2"/>
      <c r="Q21" s="3"/>
      <c r="R21" s="3"/>
      <c r="S21" s="4"/>
      <c r="T21" s="4"/>
      <c r="U21" s="4"/>
      <c r="V21" s="4"/>
      <c r="W21" s="4"/>
      <c r="X21" s="4"/>
    </row>
    <row r="22" spans="1:2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3"/>
      <c r="R22" s="3"/>
      <c r="S22" s="4"/>
      <c r="T22" s="4"/>
      <c r="U22" s="4"/>
      <c r="V22" s="4"/>
      <c r="W22" s="4"/>
      <c r="X22" s="4"/>
    </row>
    <row r="23" spans="1:2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"/>
      <c r="R23" s="3"/>
      <c r="S23" s="4"/>
      <c r="T23" s="4"/>
      <c r="U23" s="4"/>
      <c r="V23" s="4"/>
      <c r="W23" s="4"/>
      <c r="X23" s="4"/>
    </row>
    <row r="24" spans="1:2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"/>
      <c r="R24" s="3"/>
      <c r="S24" s="4"/>
      <c r="T24" s="4"/>
      <c r="U24" s="4"/>
      <c r="V24" s="4"/>
      <c r="W24" s="4"/>
      <c r="X24" s="4"/>
    </row>
    <row r="25" spans="1:2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3"/>
      <c r="R25" s="3"/>
      <c r="S25" s="4"/>
      <c r="T25" s="4"/>
      <c r="U25" s="4"/>
      <c r="V25" s="4"/>
      <c r="W25" s="4"/>
      <c r="X25" s="4"/>
    </row>
    <row r="26" spans="1:2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"/>
      <c r="R26" s="3"/>
      <c r="S26" s="4"/>
      <c r="T26" s="4"/>
      <c r="U26" s="4"/>
      <c r="V26" s="4"/>
      <c r="W26" s="4"/>
      <c r="X26" s="4"/>
    </row>
    <row r="27" spans="1:2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R27" s="3"/>
      <c r="S27" s="4"/>
      <c r="T27" s="4"/>
      <c r="U27" s="4"/>
      <c r="V27" s="4"/>
      <c r="W27" s="4"/>
      <c r="X27" s="4"/>
    </row>
    <row r="28" spans="1:2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3"/>
      <c r="S28" s="4"/>
      <c r="T28" s="4"/>
      <c r="U28" s="4"/>
      <c r="V28" s="4"/>
      <c r="W28" s="4"/>
      <c r="X28" s="4"/>
    </row>
    <row r="29" spans="1:2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3"/>
      <c r="R29" s="3"/>
      <c r="S29" s="4"/>
      <c r="T29" s="4"/>
      <c r="U29" s="4"/>
      <c r="V29" s="4"/>
      <c r="W29" s="4"/>
      <c r="X29" s="4"/>
    </row>
    <row r="30" spans="1:2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"/>
      <c r="R30" s="3"/>
      <c r="S30" s="4"/>
      <c r="T30" s="4"/>
      <c r="U30" s="4"/>
      <c r="V30" s="4"/>
      <c r="W30" s="4"/>
      <c r="X30" s="4"/>
    </row>
    <row r="31" spans="1:2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3"/>
      <c r="R31" s="3"/>
      <c r="S31" s="4"/>
      <c r="T31" s="4"/>
      <c r="U31" s="4"/>
      <c r="V31" s="4"/>
      <c r="W31" s="4"/>
      <c r="X31" s="4"/>
    </row>
    <row r="32" spans="1:2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"/>
      <c r="R32" s="3"/>
      <c r="S32" s="4"/>
      <c r="T32" s="4"/>
      <c r="U32" s="4"/>
      <c r="V32" s="4"/>
      <c r="W32" s="4"/>
      <c r="X32" s="4"/>
    </row>
    <row r="33" spans="1:2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3"/>
      <c r="R33" s="3"/>
      <c r="S33" s="4"/>
      <c r="T33" s="4"/>
      <c r="U33" s="4"/>
      <c r="V33" s="4"/>
      <c r="W33" s="4"/>
      <c r="X33" s="4"/>
    </row>
    <row r="34" spans="1:2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3"/>
      <c r="R34" s="3"/>
      <c r="S34" s="4"/>
      <c r="T34" s="4"/>
      <c r="U34" s="4"/>
      <c r="V34" s="4"/>
      <c r="W34" s="4"/>
      <c r="X34" s="4"/>
    </row>
    <row r="35" spans="1:2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  <c r="R35" s="3"/>
      <c r="S35" s="4"/>
      <c r="T35" s="4"/>
      <c r="U35" s="4"/>
      <c r="V35" s="4"/>
      <c r="W35" s="4"/>
      <c r="X35" s="4"/>
    </row>
    <row r="36" spans="1:2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3"/>
      <c r="R36" s="3"/>
      <c r="S36" s="4"/>
      <c r="T36" s="4"/>
      <c r="U36" s="4"/>
      <c r="V36" s="4"/>
      <c r="W36" s="4"/>
      <c r="X36" s="4"/>
    </row>
    <row r="37" spans="1:2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"/>
      <c r="R37" s="3"/>
      <c r="S37" s="4"/>
      <c r="T37" s="4"/>
      <c r="U37" s="4"/>
      <c r="V37" s="4"/>
      <c r="W37" s="4"/>
      <c r="X37" s="4"/>
    </row>
    <row r="38" spans="1:2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"/>
      <c r="R38" s="3"/>
      <c r="S38" s="4"/>
      <c r="T38" s="4"/>
      <c r="U38" s="4"/>
      <c r="V38" s="4"/>
      <c r="W38" s="4"/>
      <c r="X38" s="4"/>
    </row>
    <row r="39" spans="1:2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"/>
      <c r="R39" s="3"/>
      <c r="S39" s="4"/>
      <c r="T39" s="4"/>
      <c r="U39" s="4"/>
      <c r="V39" s="4"/>
      <c r="W39" s="4"/>
      <c r="X39" s="4"/>
    </row>
    <row r="40" spans="1:2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"/>
      <c r="R40" s="3"/>
      <c r="S40" s="4"/>
      <c r="T40" s="4"/>
      <c r="U40" s="4"/>
      <c r="V40" s="4"/>
      <c r="W40" s="4"/>
      <c r="X40" s="4"/>
    </row>
    <row r="41" spans="1:2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4"/>
      <c r="T41" s="4"/>
      <c r="U41" s="4"/>
      <c r="V41" s="4"/>
      <c r="W41" s="4"/>
      <c r="X41" s="4"/>
    </row>
    <row r="42" spans="1:2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4"/>
      <c r="T42" s="4"/>
      <c r="U42" s="4"/>
      <c r="V42" s="4"/>
      <c r="W42" s="4"/>
      <c r="X42" s="4"/>
    </row>
    <row r="43" spans="1:2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4"/>
      <c r="T43" s="4"/>
      <c r="U43" s="4"/>
      <c r="V43" s="4"/>
      <c r="W43" s="4"/>
      <c r="X43" s="4"/>
    </row>
    <row r="44" spans="1:2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4"/>
      <c r="T44" s="4"/>
      <c r="U44" s="4"/>
      <c r="V44" s="4"/>
      <c r="W44" s="4"/>
      <c r="X44" s="4"/>
    </row>
    <row r="45" spans="1:2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4"/>
      <c r="T45" s="4"/>
      <c r="U45" s="4"/>
      <c r="V45" s="4"/>
      <c r="W45" s="4"/>
      <c r="X45" s="4"/>
    </row>
    <row r="46" spans="1:2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4"/>
      <c r="T46" s="4"/>
      <c r="U46" s="4"/>
      <c r="V46" s="4"/>
      <c r="W46" s="4"/>
      <c r="X46" s="4"/>
    </row>
    <row r="47" spans="1:2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4"/>
      <c r="T47" s="4"/>
      <c r="U47" s="4"/>
      <c r="V47" s="4"/>
      <c r="W47" s="4"/>
      <c r="X47" s="4"/>
    </row>
    <row r="48" spans="1:2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4"/>
      <c r="T48" s="4"/>
      <c r="U48" s="4"/>
      <c r="V48" s="4"/>
      <c r="W48" s="4"/>
      <c r="X48" s="4"/>
    </row>
    <row r="49" spans="1:2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4"/>
      <c r="T49" s="4"/>
      <c r="U49" s="4"/>
      <c r="V49" s="4"/>
      <c r="W49" s="4"/>
      <c r="X49" s="4"/>
    </row>
    <row r="50" spans="1:2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4"/>
      <c r="T50" s="4"/>
      <c r="U50" s="4"/>
      <c r="V50" s="4"/>
      <c r="W50" s="4"/>
      <c r="X50" s="4"/>
    </row>
    <row r="51" spans="1:2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4"/>
      <c r="T51" s="4"/>
      <c r="U51" s="4"/>
      <c r="V51" s="4"/>
      <c r="W51" s="4"/>
      <c r="X51" s="4"/>
    </row>
    <row r="52" spans="1:2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4"/>
      <c r="T52" s="4"/>
      <c r="U52" s="4"/>
      <c r="V52" s="4"/>
      <c r="W52" s="4"/>
      <c r="X52" s="4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4"/>
      <c r="T53" s="4"/>
      <c r="U53" s="4"/>
      <c r="V53" s="4"/>
      <c r="W53" s="4"/>
      <c r="X53" s="4"/>
    </row>
    <row r="54" spans="1:24" ht="12.75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  <c r="T54" s="4"/>
      <c r="U54" s="4"/>
      <c r="V54" s="4"/>
      <c r="W54" s="4"/>
      <c r="X54" s="4"/>
    </row>
    <row r="55" spans="1:24" ht="12.75">
      <c r="A55" s="1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4"/>
      <c r="U55" s="4"/>
      <c r="V55" s="4"/>
      <c r="W55" s="4"/>
      <c r="X55" s="4"/>
    </row>
    <row r="56" spans="1:24" ht="12.75">
      <c r="A56" s="1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  <c r="T56" s="4"/>
      <c r="U56" s="4"/>
      <c r="V56" s="4"/>
      <c r="W56" s="4"/>
      <c r="X56" s="4"/>
    </row>
    <row r="57" spans="1:24" ht="12.75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4"/>
      <c r="U57" s="4"/>
      <c r="V57" s="4"/>
      <c r="W57" s="4"/>
      <c r="X57" s="4"/>
    </row>
    <row r="58" spans="1:24" ht="12.75">
      <c r="A58" s="1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4"/>
      <c r="U58" s="4"/>
      <c r="V58" s="4"/>
      <c r="W58" s="4"/>
      <c r="X58" s="4"/>
    </row>
    <row r="59" spans="1:24" ht="12.75">
      <c r="A59" s="1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4"/>
      <c r="U59" s="4"/>
      <c r="V59" s="4"/>
      <c r="W59" s="4"/>
      <c r="X59" s="4"/>
    </row>
    <row r="60" spans="1:24" ht="12.75">
      <c r="A60" s="10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4"/>
      <c r="U60" s="4"/>
      <c r="V60" s="4"/>
      <c r="W60" s="4"/>
      <c r="X60" s="4"/>
    </row>
    <row r="61" spans="1:24" ht="12.75">
      <c r="A61" s="1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4"/>
      <c r="U61" s="4"/>
      <c r="V61" s="4"/>
      <c r="W61" s="4"/>
      <c r="X61" s="4"/>
    </row>
    <row r="62" spans="1:24" ht="12.75">
      <c r="A62" s="10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4"/>
      <c r="U62" s="4"/>
      <c r="V62" s="4"/>
      <c r="W62" s="4"/>
      <c r="X62" s="4"/>
    </row>
    <row r="63" spans="1:24" ht="12.75">
      <c r="A63" s="1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4"/>
      <c r="U63" s="4"/>
      <c r="V63" s="4"/>
      <c r="W63" s="4"/>
      <c r="X63" s="4"/>
    </row>
    <row r="64" spans="1:24" ht="12.75">
      <c r="A64" s="10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"/>
      <c r="T64" s="4"/>
      <c r="U64" s="4"/>
      <c r="V64" s="4"/>
      <c r="W64" s="4"/>
      <c r="X64" s="4"/>
    </row>
    <row r="65" spans="1:24" ht="12.75">
      <c r="A65" s="1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"/>
      <c r="T65" s="4"/>
      <c r="U65" s="4"/>
      <c r="V65" s="4"/>
      <c r="W65" s="4"/>
      <c r="X65" s="4"/>
    </row>
    <row r="66" spans="1:24" ht="12.75">
      <c r="A66" s="10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"/>
      <c r="T66" s="4"/>
      <c r="U66" s="4"/>
      <c r="V66" s="4"/>
      <c r="W66" s="4"/>
      <c r="X66" s="4"/>
    </row>
    <row r="67" spans="1:24" ht="12.75">
      <c r="A67" s="1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"/>
      <c r="T67" s="4"/>
      <c r="U67" s="4"/>
      <c r="V67" s="4"/>
      <c r="W67" s="4"/>
      <c r="X67" s="4"/>
    </row>
    <row r="68" spans="1:24" ht="12.75">
      <c r="A68" s="1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"/>
      <c r="T68" s="4"/>
      <c r="U68" s="4"/>
      <c r="V68" s="4"/>
      <c r="W68" s="4"/>
      <c r="X68" s="4"/>
    </row>
    <row r="69" spans="1:24" ht="12.75">
      <c r="A69" s="1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"/>
      <c r="T69" s="4"/>
      <c r="U69" s="4"/>
      <c r="V69" s="4"/>
      <c r="W69" s="4"/>
      <c r="X69" s="4"/>
    </row>
    <row r="70" spans="1:24" ht="12.75">
      <c r="A70" s="10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"/>
      <c r="T70" s="4"/>
      <c r="U70" s="4"/>
      <c r="V70" s="4"/>
      <c r="W70" s="4"/>
      <c r="X70" s="4"/>
    </row>
    <row r="71" spans="1:24" ht="12.75">
      <c r="A71" s="1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"/>
      <c r="T71" s="4"/>
      <c r="U71" s="4"/>
      <c r="V71" s="4"/>
      <c r="W71" s="4"/>
      <c r="X71" s="4"/>
    </row>
    <row r="72" spans="1:24" ht="12.75">
      <c r="A72" s="10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"/>
      <c r="T72" s="4"/>
      <c r="U72" s="4"/>
      <c r="V72" s="4"/>
      <c r="W72" s="4"/>
      <c r="X72" s="4"/>
    </row>
    <row r="73" spans="1:24" ht="12.75">
      <c r="A73" s="10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"/>
      <c r="T73" s="4"/>
      <c r="U73" s="4"/>
      <c r="V73" s="4"/>
      <c r="W73" s="4"/>
      <c r="X73" s="4"/>
    </row>
    <row r="74" spans="1:24" ht="12.75">
      <c r="A74" s="10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"/>
      <c r="T74" s="4"/>
      <c r="U74" s="4"/>
      <c r="V74" s="4"/>
      <c r="W74" s="4"/>
      <c r="X74" s="4"/>
    </row>
    <row r="75" spans="1:24" ht="12.75">
      <c r="A75" s="10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"/>
      <c r="T75" s="4"/>
      <c r="U75" s="4"/>
      <c r="V75" s="4"/>
      <c r="W75" s="4"/>
      <c r="X75" s="4"/>
    </row>
    <row r="76" spans="1:24" ht="12.75">
      <c r="A76" s="10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"/>
      <c r="T76" s="4"/>
      <c r="U76" s="4"/>
      <c r="V76" s="4"/>
      <c r="W76" s="4"/>
      <c r="X76" s="4"/>
    </row>
    <row r="77" spans="1:24" ht="12.75">
      <c r="A77" s="10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"/>
      <c r="T77" s="4"/>
      <c r="U77" s="4"/>
      <c r="V77" s="4"/>
      <c r="W77" s="4"/>
      <c r="X77" s="4"/>
    </row>
    <row r="78" spans="1:24" ht="12.75">
      <c r="A78" s="1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"/>
      <c r="T78" s="4"/>
      <c r="U78" s="4"/>
      <c r="V78" s="4"/>
      <c r="W78" s="4"/>
      <c r="X78" s="4"/>
    </row>
    <row r="79" spans="1:24" ht="12.75">
      <c r="A79" s="1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"/>
      <c r="T79" s="4"/>
      <c r="U79" s="4"/>
      <c r="V79" s="4"/>
      <c r="W79" s="4"/>
      <c r="X79" s="4"/>
    </row>
    <row r="80" spans="1:24" ht="12.75">
      <c r="A80" s="1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"/>
      <c r="T80" s="4"/>
      <c r="U80" s="4"/>
      <c r="V80" s="4"/>
      <c r="W80" s="4"/>
      <c r="X80" s="4"/>
    </row>
    <row r="81" spans="1:24" ht="12.75">
      <c r="A81" s="10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"/>
      <c r="T81" s="4"/>
      <c r="U81" s="4"/>
      <c r="V81" s="4"/>
      <c r="W81" s="4"/>
      <c r="X81" s="4"/>
    </row>
    <row r="82" spans="1:24" ht="12.75">
      <c r="A82" s="10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"/>
      <c r="T82" s="4"/>
      <c r="U82" s="4"/>
      <c r="V82" s="4"/>
      <c r="W82" s="4"/>
      <c r="X82" s="4"/>
    </row>
    <row r="83" spans="1:24" ht="12.75">
      <c r="A83" s="10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"/>
      <c r="T83" s="4"/>
      <c r="U83" s="4"/>
      <c r="V83" s="4"/>
      <c r="W83" s="4"/>
      <c r="X83" s="4"/>
    </row>
    <row r="84" spans="1:24" ht="12.75">
      <c r="A84" s="10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"/>
      <c r="T84" s="4"/>
      <c r="U84" s="4"/>
      <c r="V84" s="4"/>
      <c r="W84" s="4"/>
      <c r="X84" s="4"/>
    </row>
    <row r="85" spans="1:24" ht="12.75">
      <c r="A85" s="10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"/>
      <c r="T85" s="4"/>
      <c r="U85" s="4"/>
      <c r="V85" s="4"/>
      <c r="W85" s="4"/>
      <c r="X85" s="4"/>
    </row>
    <row r="86" spans="1:24" ht="12.75">
      <c r="A86" s="10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"/>
      <c r="T86" s="4"/>
      <c r="U86" s="4"/>
      <c r="V86" s="4"/>
      <c r="W86" s="4"/>
      <c r="X86" s="4"/>
    </row>
    <row r="87" spans="1:24" ht="12.75">
      <c r="A87" s="10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"/>
      <c r="T87" s="4"/>
      <c r="U87" s="4"/>
      <c r="V87" s="4"/>
      <c r="W87" s="4"/>
      <c r="X87" s="4"/>
    </row>
    <row r="88" spans="1:24" ht="12.75">
      <c r="A88" s="10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"/>
      <c r="T88" s="4"/>
      <c r="U88" s="4"/>
      <c r="V88" s="4"/>
      <c r="W88" s="4"/>
      <c r="X88" s="4"/>
    </row>
    <row r="89" spans="1:24" ht="12.75">
      <c r="A89" s="10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"/>
      <c r="T89" s="4"/>
      <c r="U89" s="4"/>
      <c r="V89" s="4"/>
      <c r="W89" s="4"/>
      <c r="X89" s="4"/>
    </row>
    <row r="90" spans="1:24" ht="12.75">
      <c r="A90" s="10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"/>
      <c r="T90" s="4"/>
      <c r="U90" s="4"/>
      <c r="V90" s="4"/>
      <c r="W90" s="4"/>
      <c r="X90" s="4"/>
    </row>
    <row r="91" spans="1:24" ht="12.75">
      <c r="A91" s="10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"/>
      <c r="T91" s="4"/>
      <c r="U91" s="4"/>
      <c r="V91" s="4"/>
      <c r="W91" s="4"/>
      <c r="X91" s="4"/>
    </row>
    <row r="92" spans="1:24" ht="12.75">
      <c r="A92" s="10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"/>
      <c r="T92" s="4"/>
      <c r="U92" s="4"/>
      <c r="V92" s="4"/>
      <c r="W92" s="4"/>
      <c r="X92" s="4"/>
    </row>
    <row r="93" spans="1:24" ht="12.75">
      <c r="A93" s="10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"/>
      <c r="T93" s="4"/>
      <c r="U93" s="4"/>
      <c r="V93" s="4"/>
      <c r="W93" s="4"/>
      <c r="X93" s="4"/>
    </row>
    <row r="94" spans="1:24" ht="12.75">
      <c r="A94" s="10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"/>
      <c r="T94" s="4"/>
      <c r="U94" s="4"/>
      <c r="V94" s="4"/>
      <c r="W94" s="4"/>
      <c r="X94" s="4"/>
    </row>
    <row r="95" spans="1:24" ht="12.75">
      <c r="A95" s="10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"/>
      <c r="T95" s="4"/>
      <c r="U95" s="4"/>
      <c r="V95" s="4"/>
      <c r="W95" s="4"/>
      <c r="X95" s="4"/>
    </row>
    <row r="96" spans="1:24" ht="12.75">
      <c r="A96" s="10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"/>
      <c r="T96" s="4"/>
      <c r="U96" s="4"/>
      <c r="V96" s="4"/>
      <c r="W96" s="4"/>
      <c r="X96" s="4"/>
    </row>
    <row r="97" spans="1:24" ht="12.75">
      <c r="A97" s="10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"/>
      <c r="T97" s="4"/>
      <c r="U97" s="4"/>
      <c r="V97" s="4"/>
      <c r="W97" s="4"/>
      <c r="X97" s="4"/>
    </row>
    <row r="98" spans="1:24" ht="12.75">
      <c r="A98" s="10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"/>
      <c r="T98" s="4"/>
      <c r="U98" s="4"/>
      <c r="V98" s="4"/>
      <c r="W98" s="4"/>
      <c r="X98" s="4"/>
    </row>
    <row r="99" spans="1:38" ht="12.75">
      <c r="A99" s="10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12.75">
      <c r="A100" s="10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12.75">
      <c r="A101" s="10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12.75">
      <c r="A102" s="10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12.75">
      <c r="A103" s="10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12.75">
      <c r="A104" s="10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ht="12.75">
      <c r="A105" s="10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ht="12.75">
      <c r="A106" s="10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ht="12.75">
      <c r="A107" s="10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ht="12.75">
      <c r="A108" s="10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ht="12.75">
      <c r="A109" s="10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ht="12.75">
      <c r="A110" s="10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ht="12.75">
      <c r="A111" s="10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 ht="12.75">
      <c r="A112" s="10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8" ht="12.75">
      <c r="A113" s="10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8" ht="12.75">
      <c r="A114" s="10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8" ht="12.75">
      <c r="A115" s="10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1:38" ht="12.75">
      <c r="A116" s="10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spans="1:38" ht="12.75">
      <c r="A117" s="10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 ht="12.75">
      <c r="A118" s="10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ht="12.75">
      <c r="A119" s="10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 ht="12.75">
      <c r="A120" s="10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spans="1:38" ht="12.75">
      <c r="A121" s="10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spans="1:38" ht="12.75">
      <c r="A122" s="10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 ht="12.75">
      <c r="A123" s="10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1:38" ht="12.75">
      <c r="A124" s="10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spans="1:38" ht="12.75">
      <c r="A125" s="10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</row>
    <row r="126" spans="1:38" ht="12.75">
      <c r="A126" s="10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spans="1:38" ht="12.75">
      <c r="A127" s="10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1:38" ht="12.75">
      <c r="A128" s="10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1:38" ht="12.75">
      <c r="A129" s="10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spans="1:38" ht="12.75">
      <c r="A130" s="10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</row>
    <row r="131" spans="1:38" ht="12.75">
      <c r="A131" s="10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spans="1:38" ht="12.75">
      <c r="A132" s="10"/>
      <c r="B132" s="3"/>
      <c r="C132" s="3"/>
      <c r="D132" s="3"/>
      <c r="E132" s="3"/>
      <c r="F132" s="3"/>
      <c r="G132" s="3">
        <v>11255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</row>
    <row r="133" spans="1:38" ht="12.75">
      <c r="A133" s="10"/>
      <c r="B133" s="3"/>
      <c r="C133" s="3"/>
      <c r="D133" s="3"/>
      <c r="E133" s="3"/>
      <c r="F133" s="3"/>
      <c r="G133" s="3">
        <v>1600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spans="1:38" ht="12.75">
      <c r="A134" s="10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</row>
    <row r="135" spans="1:38" ht="12.75">
      <c r="A135" s="10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</row>
    <row r="136" spans="1:38" ht="12.75">
      <c r="A136" s="10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</row>
    <row r="137" spans="1:38" ht="12.75">
      <c r="A137" s="10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</row>
    <row r="138" spans="1:38" ht="12.75">
      <c r="A138" s="10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</row>
    <row r="139" spans="1:38" ht="12.75">
      <c r="A139" s="10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spans="1:38" ht="12.75">
      <c r="A140" s="10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</row>
    <row r="141" spans="1:38" ht="12.75">
      <c r="A141" s="10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</row>
    <row r="142" spans="1:38" ht="12.75">
      <c r="A142" s="10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</row>
    <row r="143" spans="1:38" ht="12.75">
      <c r="A143" s="10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</row>
    <row r="144" spans="1:38" ht="12.75">
      <c r="A144" s="10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</row>
    <row r="145" spans="1:38" ht="12.75">
      <c r="A145" s="10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</row>
    <row r="146" spans="1:38" ht="12.75">
      <c r="A146" s="10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</row>
    <row r="147" spans="1:38" ht="12.75">
      <c r="A147" s="10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</row>
    <row r="148" spans="1:38" ht="12.75">
      <c r="A148" s="10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</row>
    <row r="149" spans="1:38" ht="12.75">
      <c r="A149" s="10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</row>
    <row r="150" spans="1:38" ht="12.75">
      <c r="A150" s="10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</row>
    <row r="151" spans="1:38" ht="12.75">
      <c r="A151" s="10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</row>
    <row r="152" spans="1:38" ht="12.75">
      <c r="A152" s="10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</row>
    <row r="153" spans="1:38" ht="12.75">
      <c r="A153" s="10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</row>
    <row r="154" spans="1:38" ht="12.75">
      <c r="A154" s="10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spans="1:38" ht="12.75">
      <c r="A155" s="10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</row>
    <row r="156" spans="1:38" ht="12.75">
      <c r="A156" s="10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</row>
    <row r="157" spans="1:38" ht="12.75">
      <c r="A157" s="10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</row>
    <row r="158" spans="1:38" ht="12.75">
      <c r="A158" s="10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</row>
    <row r="159" spans="1:38" ht="12.75">
      <c r="A159" s="10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</row>
    <row r="160" spans="1:38" ht="12.75">
      <c r="A160" s="10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</row>
    <row r="161" spans="1:38" ht="12.75">
      <c r="A161" s="10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</row>
    <row r="162" spans="1:38" ht="12.75">
      <c r="A162" s="10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</row>
    <row r="163" spans="1:38" ht="12.75">
      <c r="A163" s="10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spans="1:38" ht="12.75">
      <c r="A164" s="10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spans="1:38" ht="12.75">
      <c r="A165" s="10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spans="1:38" ht="12.75">
      <c r="A166" s="10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  <row r="167" spans="1:38" ht="12.75">
      <c r="A167" s="10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</row>
    <row r="168" spans="1:38" ht="12.75">
      <c r="A168" s="10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spans="1:38" ht="12.75">
      <c r="A169" s="10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  <row r="170" spans="1:38" ht="12.75">
      <c r="A170" s="10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</row>
    <row r="171" spans="1:38" ht="12.75">
      <c r="A171" s="10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</row>
    <row r="172" spans="1:38" ht="19.5" customHeight="1">
      <c r="A172" s="10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</row>
    <row r="173" spans="1:38" ht="12.75">
      <c r="A173" s="10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</row>
    <row r="174" spans="1:38" ht="12.75">
      <c r="A174" s="10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</row>
    <row r="175" spans="1:38" ht="12.75">
      <c r="A175" s="10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</row>
    <row r="176" spans="1:38" ht="12.75">
      <c r="A176" s="10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</row>
    <row r="177" spans="1:38" ht="12.75">
      <c r="A177" s="1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</row>
    <row r="178" spans="1:38" ht="12.75">
      <c r="A178" s="1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</row>
    <row r="179" spans="1:38" ht="12.75">
      <c r="A179" s="1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</row>
    <row r="180" spans="1:38" ht="12.75">
      <c r="A180" s="1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</row>
    <row r="181" spans="1:38" ht="12.75">
      <c r="A181" s="1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</row>
    <row r="182" spans="1:38" ht="12.75">
      <c r="A182" s="1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</row>
    <row r="183" spans="1:38" ht="12.75">
      <c r="A183" s="1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</row>
    <row r="184" spans="1:38" ht="12.75">
      <c r="A184" s="1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</row>
    <row r="185" spans="1:38" ht="12.75">
      <c r="A185" s="1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</row>
    <row r="186" spans="1:38" ht="12.75">
      <c r="A186" s="1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</row>
    <row r="187" spans="1:38" ht="12.75">
      <c r="A187" s="1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</row>
    <row r="188" spans="1:38" ht="12.75">
      <c r="A188" s="1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</row>
    <row r="189" spans="1:38" ht="12.75">
      <c r="A189" s="1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</row>
    <row r="190" spans="1:38" ht="12.75">
      <c r="A190" s="1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</row>
    <row r="191" spans="1:38" ht="12.75">
      <c r="A191" s="1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</row>
    <row r="192" spans="1:38" ht="12.75">
      <c r="A192" s="1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</row>
    <row r="193" spans="1:38" ht="12.75">
      <c r="A193" s="1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</row>
    <row r="194" spans="1:38" ht="12.75">
      <c r="A194" s="1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</row>
    <row r="195" spans="1:38" ht="12.75">
      <c r="A195" s="1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</row>
    <row r="196" spans="1:38" ht="12.75">
      <c r="A196" s="1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</row>
    <row r="197" spans="1:38" ht="12.75">
      <c r="A197" s="1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</row>
    <row r="198" spans="1:38" ht="12.75">
      <c r="A198" s="1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</row>
    <row r="199" spans="1:38" ht="12.75">
      <c r="A199" s="1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</row>
    <row r="200" spans="1:38" ht="12.75">
      <c r="A200" s="1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</row>
    <row r="201" spans="1:38" ht="12.75">
      <c r="A201" s="1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</row>
    <row r="202" spans="1:38" ht="12.75">
      <c r="A202" s="1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</row>
    <row r="203" spans="1:38" ht="12.75">
      <c r="A203" s="1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</row>
    <row r="204" spans="1:38" ht="12.75">
      <c r="A204" s="1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</row>
    <row r="205" spans="1:38" ht="12.75">
      <c r="A205" s="1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</row>
    <row r="206" spans="1:38" ht="12.75">
      <c r="A206" s="1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</row>
    <row r="207" spans="1:38" ht="12.75">
      <c r="A207" s="1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</row>
    <row r="208" spans="1:38" ht="12.75">
      <c r="A208" s="1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</row>
    <row r="209" spans="1:38" ht="12.75">
      <c r="A209" s="1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</row>
    <row r="210" spans="1:38" ht="12.75">
      <c r="A210" s="1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</row>
    <row r="211" spans="1:38" ht="12.75">
      <c r="A211" s="1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</row>
    <row r="212" spans="18:24" ht="12.75">
      <c r="R212" s="4"/>
      <c r="S212" s="4"/>
      <c r="T212" s="4"/>
      <c r="U212" s="4"/>
      <c r="V212" s="4"/>
      <c r="W212" s="4"/>
      <c r="X212" s="4"/>
    </row>
    <row r="213" spans="18:24" ht="12.75">
      <c r="R213" s="4"/>
      <c r="S213" s="4"/>
      <c r="T213" s="4"/>
      <c r="U213" s="4"/>
      <c r="V213" s="4"/>
      <c r="W213" s="4"/>
      <c r="X213" s="4"/>
    </row>
    <row r="214" spans="18:24" ht="12.75">
      <c r="R214" s="4"/>
      <c r="S214" s="4"/>
      <c r="T214" s="4"/>
      <c r="U214" s="4"/>
      <c r="V214" s="4"/>
      <c r="W214" s="4"/>
      <c r="X214" s="4"/>
    </row>
    <row r="215" spans="18:24" ht="12.75">
      <c r="R215" s="4"/>
      <c r="S215" s="4"/>
      <c r="T215" s="4"/>
      <c r="U215" s="4"/>
      <c r="V215" s="4"/>
      <c r="W215" s="4"/>
      <c r="X215" s="4"/>
    </row>
    <row r="216" spans="18:24" ht="12.75">
      <c r="R216" s="4"/>
      <c r="S216" s="4"/>
      <c r="T216" s="4"/>
      <c r="U216" s="4"/>
      <c r="V216" s="4"/>
      <c r="W216" s="4"/>
      <c r="X216" s="4"/>
    </row>
    <row r="217" spans="18:24" ht="12.75">
      <c r="R217" s="4"/>
      <c r="S217" s="4"/>
      <c r="T217" s="4"/>
      <c r="U217" s="4"/>
      <c r="V217" s="4"/>
      <c r="W217" s="4"/>
      <c r="X217" s="4"/>
    </row>
    <row r="218" spans="18:24" ht="12.75">
      <c r="R218" s="4"/>
      <c r="S218" s="4"/>
      <c r="T218" s="4"/>
      <c r="U218" s="4"/>
      <c r="V218" s="4"/>
      <c r="W218" s="4"/>
      <c r="X218" s="4"/>
    </row>
    <row r="219" spans="18:24" ht="12.75">
      <c r="R219" s="4"/>
      <c r="S219" s="4"/>
      <c r="T219" s="4"/>
      <c r="U219" s="4"/>
      <c r="V219" s="4"/>
      <c r="W219" s="4"/>
      <c r="X219" s="4"/>
    </row>
    <row r="220" spans="18:24" ht="12.75">
      <c r="R220" s="4"/>
      <c r="S220" s="4"/>
      <c r="T220" s="4"/>
      <c r="U220" s="4"/>
      <c r="V220" s="4"/>
      <c r="W220" s="4"/>
      <c r="X220" s="4"/>
    </row>
    <row r="221" spans="18:24" ht="12.75">
      <c r="R221" s="4"/>
      <c r="S221" s="4"/>
      <c r="T221" s="4"/>
      <c r="U221" s="4"/>
      <c r="V221" s="4"/>
      <c r="W221" s="4"/>
      <c r="X221" s="4"/>
    </row>
    <row r="222" spans="18:24" ht="12.75">
      <c r="R222" s="4"/>
      <c r="S222" s="4"/>
      <c r="T222" s="4"/>
      <c r="U222" s="4"/>
      <c r="V222" s="4"/>
      <c r="W222" s="4"/>
      <c r="X222" s="4"/>
    </row>
    <row r="223" spans="18:24" ht="12.75">
      <c r="R223" s="4"/>
      <c r="S223" s="4"/>
      <c r="T223" s="4"/>
      <c r="U223" s="4"/>
      <c r="V223" s="4"/>
      <c r="W223" s="4"/>
      <c r="X223" s="4"/>
    </row>
    <row r="224" spans="18:24" ht="12.75">
      <c r="R224" s="4"/>
      <c r="S224" s="4"/>
      <c r="T224" s="4"/>
      <c r="U224" s="4"/>
      <c r="V224" s="4"/>
      <c r="W224" s="4"/>
      <c r="X224" s="4"/>
    </row>
    <row r="225" spans="18:24" ht="12.75">
      <c r="R225" s="4"/>
      <c r="S225" s="4"/>
      <c r="T225" s="4"/>
      <c r="U225" s="4"/>
      <c r="V225" s="4"/>
      <c r="W225" s="4"/>
      <c r="X225" s="4"/>
    </row>
    <row r="226" spans="18:24" ht="12.75">
      <c r="R226" s="4"/>
      <c r="S226" s="4"/>
      <c r="T226" s="4"/>
      <c r="U226" s="4"/>
      <c r="V226" s="4"/>
      <c r="W226" s="4"/>
      <c r="X226" s="4"/>
    </row>
    <row r="227" spans="18:24" ht="12.75">
      <c r="R227" s="4"/>
      <c r="S227" s="4"/>
      <c r="T227" s="4"/>
      <c r="U227" s="4"/>
      <c r="V227" s="4"/>
      <c r="W227" s="4"/>
      <c r="X227" s="4"/>
    </row>
    <row r="228" spans="18:24" ht="12.75">
      <c r="R228" s="4"/>
      <c r="S228" s="4"/>
      <c r="T228" s="4"/>
      <c r="U228" s="4"/>
      <c r="V228" s="4"/>
      <c r="W228" s="4"/>
      <c r="X228" s="4"/>
    </row>
    <row r="229" spans="18:24" ht="12.75">
      <c r="R229" s="4"/>
      <c r="S229" s="4"/>
      <c r="T229" s="4"/>
      <c r="U229" s="4"/>
      <c r="V229" s="4"/>
      <c r="W229" s="4"/>
      <c r="X229" s="4"/>
    </row>
    <row r="230" spans="18:24" ht="12.75">
      <c r="R230" s="4"/>
      <c r="S230" s="4"/>
      <c r="T230" s="4"/>
      <c r="U230" s="4"/>
      <c r="V230" s="4"/>
      <c r="W230" s="4"/>
      <c r="X230" s="4"/>
    </row>
    <row r="231" spans="18:24" ht="12.75">
      <c r="R231" s="4"/>
      <c r="S231" s="4"/>
      <c r="T231" s="4"/>
      <c r="U231" s="4"/>
      <c r="V231" s="4"/>
      <c r="W231" s="4"/>
      <c r="X231" s="4"/>
    </row>
    <row r="232" spans="18:24" ht="12.75">
      <c r="R232" s="4"/>
      <c r="S232" s="4"/>
      <c r="T232" s="4"/>
      <c r="U232" s="4"/>
      <c r="V232" s="4"/>
      <c r="W232" s="4"/>
      <c r="X232" s="4"/>
    </row>
    <row r="233" spans="18:24" ht="12.75">
      <c r="R233" s="4"/>
      <c r="S233" s="4"/>
      <c r="T233" s="4"/>
      <c r="U233" s="4"/>
      <c r="V233" s="4"/>
      <c r="W233" s="4"/>
      <c r="X233" s="4"/>
    </row>
    <row r="234" spans="18:24" ht="12.75">
      <c r="R234" s="4"/>
      <c r="S234" s="4"/>
      <c r="T234" s="4"/>
      <c r="U234" s="4"/>
      <c r="V234" s="4"/>
      <c r="W234" s="4"/>
      <c r="X234" s="4"/>
    </row>
    <row r="235" spans="18:24" ht="12.75">
      <c r="R235" s="4"/>
      <c r="S235" s="4"/>
      <c r="T235" s="4"/>
      <c r="U235" s="4"/>
      <c r="V235" s="4"/>
      <c r="W235" s="4"/>
      <c r="X235" s="4"/>
    </row>
    <row r="236" spans="18:24" ht="12.75">
      <c r="R236" s="4"/>
      <c r="S236" s="4"/>
      <c r="T236" s="4"/>
      <c r="U236" s="4"/>
      <c r="V236" s="4"/>
      <c r="W236" s="4"/>
      <c r="X236" s="4"/>
    </row>
    <row r="237" spans="18:24" ht="12.75">
      <c r="R237" s="4"/>
      <c r="S237" s="4"/>
      <c r="T237" s="4"/>
      <c r="U237" s="4"/>
      <c r="V237" s="4"/>
      <c r="W237" s="4"/>
      <c r="X237" s="4"/>
    </row>
    <row r="238" spans="18:24" ht="12.75">
      <c r="R238" s="4"/>
      <c r="S238" s="4"/>
      <c r="T238" s="4"/>
      <c r="U238" s="4"/>
      <c r="V238" s="4"/>
      <c r="W238" s="4"/>
      <c r="X238" s="4"/>
    </row>
    <row r="239" spans="18:24" ht="12.75">
      <c r="R239" s="4"/>
      <c r="S239" s="4"/>
      <c r="T239" s="4"/>
      <c r="U239" s="4"/>
      <c r="V239" s="4"/>
      <c r="W239" s="4"/>
      <c r="X239" s="4"/>
    </row>
    <row r="240" spans="18:24" ht="12.75">
      <c r="R240" s="4"/>
      <c r="S240" s="4"/>
      <c r="T240" s="4"/>
      <c r="U240" s="4"/>
      <c r="V240" s="4"/>
      <c r="W240" s="4"/>
      <c r="X240" s="4"/>
    </row>
    <row r="241" spans="18:24" ht="12.75">
      <c r="R241" s="4"/>
      <c r="S241" s="4"/>
      <c r="T241" s="4"/>
      <c r="U241" s="4"/>
      <c r="V241" s="4"/>
      <c r="W241" s="4"/>
      <c r="X241" s="4"/>
    </row>
    <row r="242" spans="18:24" ht="12.75">
      <c r="R242" s="4"/>
      <c r="S242" s="4"/>
      <c r="T242" s="4"/>
      <c r="U242" s="4"/>
      <c r="V242" s="4"/>
      <c r="W242" s="4"/>
      <c r="X242" s="4"/>
    </row>
    <row r="243" spans="18:24" ht="12.75">
      <c r="R243" s="4"/>
      <c r="S243" s="4"/>
      <c r="T243" s="4"/>
      <c r="U243" s="4"/>
      <c r="V243" s="4"/>
      <c r="W243" s="4"/>
      <c r="X243" s="4"/>
    </row>
  </sheetData>
  <sheetProtection/>
  <mergeCells count="15">
    <mergeCell ref="A1:J1"/>
    <mergeCell ref="B2:J2"/>
    <mergeCell ref="A10:A12"/>
    <mergeCell ref="B10:B11"/>
    <mergeCell ref="C10:C11"/>
    <mergeCell ref="D10:D11"/>
    <mergeCell ref="C18:E18"/>
    <mergeCell ref="L18:N18"/>
    <mergeCell ref="G16:I16"/>
    <mergeCell ref="G17:I17"/>
    <mergeCell ref="G18:I18"/>
    <mergeCell ref="C16:E16"/>
    <mergeCell ref="L16:N16"/>
    <mergeCell ref="C17:E17"/>
    <mergeCell ref="L17:N17"/>
  </mergeCells>
  <printOptions horizontalCentered="1"/>
  <pageMargins left="0.5905511811023623" right="0.5905511811023623" top="1.968503937007874" bottom="0.7874015748031497" header="0.7874015748031497" footer="0.31496062992125984"/>
  <pageSetup fitToHeight="1" fitToWidth="1" horizontalDpi="600" verticalDpi="600" orientation="landscape" paperSize="9" scale="78" r:id="rId2"/>
  <headerFooter alignWithMargins="0">
    <oddHeader>&amp;L&amp;G</oddHeader>
    <oddFooter>&amp;C&amp;P/&amp;N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tabSelected="1" view="pageBreakPreview" zoomScale="115" zoomScaleNormal="115" zoomScaleSheetLayoutView="115" zoomScalePageLayoutView="0" workbookViewId="0" topLeftCell="A1">
      <selection activeCell="A1" sqref="A1:M1"/>
    </sheetView>
  </sheetViews>
  <sheetFormatPr defaultColWidth="9.140625" defaultRowHeight="12.75"/>
  <cols>
    <col min="5" max="6" width="11.28125" style="0" customWidth="1"/>
    <col min="8" max="8" width="13.28125" style="0" bestFit="1" customWidth="1"/>
    <col min="9" max="9" width="12.8515625" style="0" customWidth="1"/>
    <col min="10" max="10" width="12.00390625" style="234" bestFit="1" customWidth="1"/>
    <col min="11" max="11" width="15.57421875" style="234" bestFit="1" customWidth="1"/>
    <col min="12" max="12" width="13.28125" style="235" customWidth="1"/>
    <col min="13" max="16" width="11.7109375" style="0" customWidth="1"/>
    <col min="17" max="17" width="19.421875" style="0" customWidth="1"/>
    <col min="18" max="18" width="9.7109375" style="0" bestFit="1" customWidth="1"/>
    <col min="20" max="20" width="6.28125" style="0" customWidth="1"/>
    <col min="21" max="21" width="13.421875" style="0" customWidth="1"/>
    <col min="22" max="22" width="14.8515625" style="0" bestFit="1" customWidth="1"/>
    <col min="23" max="23" width="19.8515625" style="0" customWidth="1"/>
    <col min="29" max="29" width="86.8515625" style="0" customWidth="1"/>
  </cols>
  <sheetData>
    <row r="1" spans="1:16" ht="18">
      <c r="A1" s="377" t="s">
        <v>44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260"/>
      <c r="O1" s="260"/>
      <c r="P1" s="260"/>
    </row>
    <row r="2" spans="1:16" ht="18">
      <c r="A2" s="377" t="s">
        <v>45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260"/>
      <c r="O2" s="260"/>
      <c r="P2" s="260"/>
    </row>
    <row r="3" spans="1:16" ht="37.5" customHeight="1">
      <c r="A3" s="378" t="s">
        <v>47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261"/>
      <c r="O3" s="261"/>
      <c r="P3" s="261"/>
    </row>
    <row r="4" spans="1:16" ht="18">
      <c r="A4" s="377" t="s">
        <v>50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260"/>
      <c r="O4" s="260"/>
      <c r="P4" s="260"/>
    </row>
    <row r="5" spans="1:16" ht="18">
      <c r="A5" s="377" t="s">
        <v>46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260"/>
      <c r="O5" s="260"/>
      <c r="P5" s="260"/>
    </row>
    <row r="6" spans="1:23" ht="15.75" customHeight="1">
      <c r="A6" s="379" t="s">
        <v>550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262"/>
      <c r="O6" s="262"/>
      <c r="P6" s="262"/>
      <c r="Q6" s="61"/>
      <c r="R6" s="61"/>
      <c r="S6" s="61"/>
      <c r="T6" s="61"/>
      <c r="U6" s="364" t="s">
        <v>42</v>
      </c>
      <c r="V6" s="367" t="s">
        <v>43</v>
      </c>
      <c r="W6" s="368"/>
    </row>
    <row r="7" spans="1:23" ht="34.5" customHeight="1">
      <c r="A7" s="381" t="s">
        <v>36</v>
      </c>
      <c r="B7" s="381"/>
      <c r="C7" s="381"/>
      <c r="D7" s="381"/>
      <c r="E7" s="382" t="s">
        <v>37</v>
      </c>
      <c r="F7" s="382"/>
      <c r="G7" s="382"/>
      <c r="H7" s="382"/>
      <c r="I7" s="382"/>
      <c r="J7" s="382"/>
      <c r="K7" s="240" t="s">
        <v>49</v>
      </c>
      <c r="L7" s="240">
        <v>43560</v>
      </c>
      <c r="M7" s="226"/>
      <c r="N7" s="226"/>
      <c r="O7" s="226"/>
      <c r="P7" s="226"/>
      <c r="Q7" s="61"/>
      <c r="R7" s="61"/>
      <c r="S7" s="61"/>
      <c r="T7" s="61"/>
      <c r="U7" s="365"/>
      <c r="V7" s="231" t="s">
        <v>955</v>
      </c>
      <c r="W7" s="231" t="s">
        <v>51</v>
      </c>
    </row>
    <row r="8" spans="1:23" ht="19.5" customHeight="1" thickBot="1">
      <c r="A8" s="381" t="s">
        <v>101</v>
      </c>
      <c r="B8" s="381"/>
      <c r="C8" s="381"/>
      <c r="D8" s="381"/>
      <c r="E8" s="383" t="s">
        <v>35</v>
      </c>
      <c r="F8" s="384"/>
      <c r="G8" s="384"/>
      <c r="H8" s="241"/>
      <c r="I8" s="242"/>
      <c r="J8" s="243"/>
      <c r="K8" s="243"/>
      <c r="L8" s="239"/>
      <c r="M8" s="227"/>
      <c r="N8" s="263"/>
      <c r="O8" s="263"/>
      <c r="P8" s="263"/>
      <c r="Q8" s="61"/>
      <c r="R8" s="61"/>
      <c r="S8" s="61"/>
      <c r="T8" s="61"/>
      <c r="U8" s="365"/>
      <c r="V8" s="231" t="s">
        <v>40</v>
      </c>
      <c r="W8" s="231" t="s">
        <v>53</v>
      </c>
    </row>
    <row r="9" spans="1:23" ht="19.5" customHeight="1">
      <c r="A9" s="369" t="s">
        <v>99</v>
      </c>
      <c r="B9" s="369" t="s">
        <v>100</v>
      </c>
      <c r="C9" s="369"/>
      <c r="D9" s="369"/>
      <c r="E9" s="369"/>
      <c r="F9" s="369"/>
      <c r="G9" s="369"/>
      <c r="H9" s="369" t="s">
        <v>31</v>
      </c>
      <c r="I9" s="369" t="s">
        <v>75</v>
      </c>
      <c r="J9" s="369" t="s">
        <v>33</v>
      </c>
      <c r="K9" s="369"/>
      <c r="L9" s="370" t="s">
        <v>38</v>
      </c>
      <c r="M9" s="371" t="s">
        <v>953</v>
      </c>
      <c r="N9" s="264"/>
      <c r="O9" s="264"/>
      <c r="P9" s="264"/>
      <c r="Q9" s="62"/>
      <c r="R9" s="62"/>
      <c r="S9" s="62"/>
      <c r="T9" s="62"/>
      <c r="U9" s="365"/>
      <c r="V9" s="232" t="s">
        <v>39</v>
      </c>
      <c r="W9" s="232" t="s">
        <v>54</v>
      </c>
    </row>
    <row r="10" spans="1:23" ht="20.25" customHeight="1">
      <c r="A10" s="369"/>
      <c r="B10" s="369"/>
      <c r="C10" s="369"/>
      <c r="D10" s="369"/>
      <c r="E10" s="369"/>
      <c r="F10" s="369"/>
      <c r="G10" s="369"/>
      <c r="H10" s="369"/>
      <c r="I10" s="369"/>
      <c r="J10" s="245" t="s">
        <v>34</v>
      </c>
      <c r="K10" s="245" t="s">
        <v>77</v>
      </c>
      <c r="L10" s="370"/>
      <c r="M10" s="372"/>
      <c r="N10" s="264"/>
      <c r="O10" s="264"/>
      <c r="P10" s="264"/>
      <c r="Q10" s="62"/>
      <c r="R10" s="62"/>
      <c r="S10" s="62"/>
      <c r="T10" s="62"/>
      <c r="U10" s="366"/>
      <c r="V10" s="232" t="s">
        <v>52</v>
      </c>
      <c r="W10" s="232" t="s">
        <v>41</v>
      </c>
    </row>
    <row r="11" spans="1:23" ht="34.5" customHeight="1">
      <c r="A11" s="258" t="s">
        <v>48</v>
      </c>
      <c r="B11" s="373" t="s">
        <v>37</v>
      </c>
      <c r="C11" s="373"/>
      <c r="D11" s="373"/>
      <c r="E11" s="373"/>
      <c r="F11" s="373"/>
      <c r="G11" s="373"/>
      <c r="H11" s="246"/>
      <c r="I11" s="246"/>
      <c r="J11" s="246"/>
      <c r="K11" s="247">
        <f>K12+K25+K28+K31</f>
        <v>157736.52</v>
      </c>
      <c r="L11" s="248"/>
      <c r="M11" s="248"/>
      <c r="N11" s="265"/>
      <c r="O11" s="265"/>
      <c r="P11" s="265"/>
      <c r="Q11" s="256"/>
      <c r="R11" s="78"/>
      <c r="S11" s="78"/>
      <c r="T11" s="78"/>
      <c r="U11" s="77"/>
      <c r="V11" s="77"/>
      <c r="W11" s="238"/>
    </row>
    <row r="12" spans="1:23" ht="12.75" customHeight="1">
      <c r="A12" s="259">
        <v>1</v>
      </c>
      <c r="B12" s="374" t="s">
        <v>21</v>
      </c>
      <c r="C12" s="374"/>
      <c r="D12" s="374"/>
      <c r="E12" s="374"/>
      <c r="F12" s="374"/>
      <c r="G12" s="374"/>
      <c r="H12" s="259"/>
      <c r="I12" s="259"/>
      <c r="J12" s="259"/>
      <c r="K12" s="249">
        <v>83926.22</v>
      </c>
      <c r="L12" s="259"/>
      <c r="M12" s="250"/>
      <c r="N12" s="266"/>
      <c r="O12" s="266"/>
      <c r="P12" s="266"/>
      <c r="Q12" s="230"/>
      <c r="R12" s="80"/>
      <c r="S12" s="80"/>
      <c r="T12" s="80"/>
      <c r="U12" s="79"/>
      <c r="V12" s="79"/>
      <c r="W12" s="237"/>
    </row>
    <row r="13" spans="1:23" ht="22.5" customHeight="1">
      <c r="A13" s="255" t="s">
        <v>63</v>
      </c>
      <c r="B13" s="375" t="s">
        <v>32</v>
      </c>
      <c r="C13" s="375"/>
      <c r="D13" s="375"/>
      <c r="E13" s="375"/>
      <c r="F13" s="375"/>
      <c r="G13" s="375"/>
      <c r="H13" s="205">
        <v>1</v>
      </c>
      <c r="I13" s="205" t="s">
        <v>0</v>
      </c>
      <c r="J13" s="233">
        <v>11850.4</v>
      </c>
      <c r="K13" s="236">
        <v>11850.4</v>
      </c>
      <c r="L13" s="244">
        <v>1</v>
      </c>
      <c r="M13" s="228" t="s">
        <v>39</v>
      </c>
      <c r="N13" s="267"/>
      <c r="O13" s="267"/>
      <c r="P13" s="267"/>
      <c r="Q13" s="230"/>
      <c r="R13" s="257"/>
      <c r="S13" s="80"/>
      <c r="T13" s="80"/>
      <c r="U13" s="79"/>
      <c r="V13" s="79"/>
      <c r="W13" s="237"/>
    </row>
    <row r="14" spans="1:23" ht="27" customHeight="1">
      <c r="A14" s="255" t="s">
        <v>64</v>
      </c>
      <c r="B14" s="375" t="s">
        <v>1</v>
      </c>
      <c r="C14" s="375"/>
      <c r="D14" s="375"/>
      <c r="E14" s="375"/>
      <c r="F14" s="375"/>
      <c r="G14" s="375"/>
      <c r="H14" s="205">
        <v>1</v>
      </c>
      <c r="I14" s="205" t="s">
        <v>2</v>
      </c>
      <c r="J14" s="233">
        <v>4995</v>
      </c>
      <c r="K14" s="236">
        <v>4995</v>
      </c>
      <c r="L14" s="244">
        <v>2</v>
      </c>
      <c r="M14" s="228" t="s">
        <v>39</v>
      </c>
      <c r="N14" s="267"/>
      <c r="O14" s="267"/>
      <c r="P14" s="267"/>
      <c r="Q14" s="77"/>
      <c r="R14" s="257"/>
      <c r="S14" s="77"/>
      <c r="T14" s="77"/>
      <c r="U14" s="77"/>
      <c r="V14" s="77"/>
      <c r="W14" s="77"/>
    </row>
    <row r="15" spans="1:23" ht="27.75" customHeight="1">
      <c r="A15" s="255" t="s">
        <v>65</v>
      </c>
      <c r="B15" s="375" t="s">
        <v>3</v>
      </c>
      <c r="C15" s="375"/>
      <c r="D15" s="375"/>
      <c r="E15" s="375"/>
      <c r="F15" s="375"/>
      <c r="G15" s="375"/>
      <c r="H15" s="205">
        <v>1</v>
      </c>
      <c r="I15" s="205" t="s">
        <v>2</v>
      </c>
      <c r="J15" s="233">
        <v>3346.78</v>
      </c>
      <c r="K15" s="236">
        <v>3346.78</v>
      </c>
      <c r="L15" s="244">
        <v>3</v>
      </c>
      <c r="M15" s="228" t="s">
        <v>39</v>
      </c>
      <c r="N15" s="267"/>
      <c r="O15" s="267"/>
      <c r="P15" s="267"/>
      <c r="Q15" s="77"/>
      <c r="R15" s="257"/>
      <c r="S15" s="77"/>
      <c r="T15" s="77"/>
      <c r="U15" s="77"/>
      <c r="V15" s="77"/>
      <c r="W15" s="77"/>
    </row>
    <row r="16" spans="1:23" ht="41.25" customHeight="1">
      <c r="A16" s="255" t="s">
        <v>70</v>
      </c>
      <c r="B16" s="375" t="s">
        <v>4</v>
      </c>
      <c r="C16" s="375"/>
      <c r="D16" s="375"/>
      <c r="E16" s="375"/>
      <c r="F16" s="375"/>
      <c r="G16" s="375"/>
      <c r="H16" s="205">
        <v>21</v>
      </c>
      <c r="I16" s="205" t="s">
        <v>5</v>
      </c>
      <c r="J16" s="233">
        <v>333</v>
      </c>
      <c r="K16" s="236">
        <v>6993</v>
      </c>
      <c r="L16" s="244">
        <v>4</v>
      </c>
      <c r="M16" s="228" t="s">
        <v>39</v>
      </c>
      <c r="N16" s="267"/>
      <c r="O16" s="267"/>
      <c r="P16" s="267"/>
      <c r="Q16" s="77"/>
      <c r="R16" s="257"/>
      <c r="S16" s="77"/>
      <c r="T16" s="77"/>
      <c r="U16" s="77"/>
      <c r="V16" s="229"/>
      <c r="W16" s="77"/>
    </row>
    <row r="17" spans="1:23" ht="58.5" customHeight="1">
      <c r="A17" s="255" t="s">
        <v>172</v>
      </c>
      <c r="B17" s="375" t="s">
        <v>6</v>
      </c>
      <c r="C17" s="375"/>
      <c r="D17" s="375"/>
      <c r="E17" s="375"/>
      <c r="F17" s="375"/>
      <c r="G17" s="375"/>
      <c r="H17" s="205">
        <v>12</v>
      </c>
      <c r="I17" s="205" t="s">
        <v>5</v>
      </c>
      <c r="J17" s="233">
        <v>388.5</v>
      </c>
      <c r="K17" s="236">
        <v>4662</v>
      </c>
      <c r="L17" s="244">
        <v>5</v>
      </c>
      <c r="M17" s="228" t="s">
        <v>39</v>
      </c>
      <c r="N17" s="267"/>
      <c r="O17" s="267"/>
      <c r="P17" s="267"/>
      <c r="Q17" s="77"/>
      <c r="R17" s="257"/>
      <c r="S17" s="77"/>
      <c r="T17" s="77"/>
      <c r="U17" s="77"/>
      <c r="V17" s="229"/>
      <c r="W17" s="77"/>
    </row>
    <row r="18" spans="1:23" ht="54" customHeight="1">
      <c r="A18" s="255" t="s">
        <v>173</v>
      </c>
      <c r="B18" s="375" t="s">
        <v>7</v>
      </c>
      <c r="C18" s="375"/>
      <c r="D18" s="375"/>
      <c r="E18" s="375"/>
      <c r="F18" s="375"/>
      <c r="G18" s="375"/>
      <c r="H18" s="205">
        <v>12</v>
      </c>
      <c r="I18" s="205" t="s">
        <v>5</v>
      </c>
      <c r="J18" s="233">
        <v>444</v>
      </c>
      <c r="K18" s="236">
        <v>5328</v>
      </c>
      <c r="L18" s="244">
        <v>6</v>
      </c>
      <c r="M18" s="228" t="s">
        <v>39</v>
      </c>
      <c r="N18" s="267"/>
      <c r="O18" s="267"/>
      <c r="P18" s="267"/>
      <c r="Q18" s="77"/>
      <c r="R18" s="257"/>
      <c r="S18" s="77"/>
      <c r="T18" s="77"/>
      <c r="U18" s="77"/>
      <c r="V18" s="77"/>
      <c r="W18" s="77"/>
    </row>
    <row r="19" spans="1:23" ht="56.25" customHeight="1">
      <c r="A19" s="255" t="s">
        <v>22</v>
      </c>
      <c r="B19" s="375" t="s">
        <v>8</v>
      </c>
      <c r="C19" s="375"/>
      <c r="D19" s="375"/>
      <c r="E19" s="375"/>
      <c r="F19" s="375"/>
      <c r="G19" s="375"/>
      <c r="H19" s="205">
        <v>12</v>
      </c>
      <c r="I19" s="205" t="s">
        <v>5</v>
      </c>
      <c r="J19" s="233">
        <v>444</v>
      </c>
      <c r="K19" s="236">
        <v>5328</v>
      </c>
      <c r="L19" s="244">
        <v>7</v>
      </c>
      <c r="M19" s="228" t="s">
        <v>39</v>
      </c>
      <c r="N19" s="267"/>
      <c r="O19" s="267"/>
      <c r="P19" s="267"/>
      <c r="Q19" s="77"/>
      <c r="R19" s="257"/>
      <c r="S19" s="77"/>
      <c r="T19" s="77"/>
      <c r="U19" s="77"/>
      <c r="V19" s="77"/>
      <c r="W19" s="77"/>
    </row>
    <row r="20" spans="1:23" ht="27.75" customHeight="1">
      <c r="A20" s="255" t="s">
        <v>23</v>
      </c>
      <c r="B20" s="375" t="s">
        <v>9</v>
      </c>
      <c r="C20" s="375"/>
      <c r="D20" s="375"/>
      <c r="E20" s="375"/>
      <c r="F20" s="375"/>
      <c r="G20" s="375"/>
      <c r="H20" s="205">
        <v>12</v>
      </c>
      <c r="I20" s="205" t="s">
        <v>5</v>
      </c>
      <c r="J20" s="233">
        <v>333</v>
      </c>
      <c r="K20" s="236">
        <v>3996</v>
      </c>
      <c r="L20" s="244">
        <v>8</v>
      </c>
      <c r="M20" s="228" t="s">
        <v>39</v>
      </c>
      <c r="N20" s="267"/>
      <c r="O20" s="267"/>
      <c r="P20" s="267"/>
      <c r="Q20" s="77"/>
      <c r="R20" s="257"/>
      <c r="S20" s="77"/>
      <c r="T20" s="77"/>
      <c r="U20" s="77"/>
      <c r="V20" s="77"/>
      <c r="W20" s="77"/>
    </row>
    <row r="21" spans="1:23" ht="25.5" customHeight="1">
      <c r="A21" s="255" t="s">
        <v>24</v>
      </c>
      <c r="B21" s="375" t="s">
        <v>10</v>
      </c>
      <c r="C21" s="375"/>
      <c r="D21" s="375"/>
      <c r="E21" s="375"/>
      <c r="F21" s="375"/>
      <c r="G21" s="375"/>
      <c r="H21" s="205">
        <v>12</v>
      </c>
      <c r="I21" s="205" t="s">
        <v>5</v>
      </c>
      <c r="J21" s="233">
        <v>999</v>
      </c>
      <c r="K21" s="236">
        <v>11988</v>
      </c>
      <c r="L21" s="244">
        <v>9</v>
      </c>
      <c r="M21" s="228" t="s">
        <v>39</v>
      </c>
      <c r="N21" s="267"/>
      <c r="O21" s="267"/>
      <c r="P21" s="267"/>
      <c r="Q21" s="77"/>
      <c r="R21" s="257"/>
      <c r="S21" s="77"/>
      <c r="T21" s="77"/>
      <c r="U21" s="77"/>
      <c r="V21" s="77"/>
      <c r="W21" s="77"/>
    </row>
    <row r="22" spans="1:23" ht="24" customHeight="1">
      <c r="A22" s="255" t="s">
        <v>25</v>
      </c>
      <c r="B22" s="375" t="s">
        <v>11</v>
      </c>
      <c r="C22" s="375"/>
      <c r="D22" s="375"/>
      <c r="E22" s="375"/>
      <c r="F22" s="375"/>
      <c r="G22" s="375"/>
      <c r="H22" s="205">
        <v>21</v>
      </c>
      <c r="I22" s="205" t="s">
        <v>5</v>
      </c>
      <c r="J22" s="233">
        <v>306.79</v>
      </c>
      <c r="K22" s="236">
        <v>6442.59</v>
      </c>
      <c r="L22" s="244">
        <v>10</v>
      </c>
      <c r="M22" s="228" t="s">
        <v>39</v>
      </c>
      <c r="N22" s="267"/>
      <c r="O22" s="267"/>
      <c r="P22" s="267"/>
      <c r="Q22" s="77"/>
      <c r="R22" s="257"/>
      <c r="S22" s="77"/>
      <c r="T22" s="77"/>
      <c r="U22" s="77"/>
      <c r="V22" s="77"/>
      <c r="W22" s="77"/>
    </row>
    <row r="23" spans="1:23" ht="62.25" customHeight="1">
      <c r="A23" s="255" t="s">
        <v>26</v>
      </c>
      <c r="B23" s="375" t="s">
        <v>12</v>
      </c>
      <c r="C23" s="375"/>
      <c r="D23" s="375"/>
      <c r="E23" s="375"/>
      <c r="F23" s="375"/>
      <c r="G23" s="375"/>
      <c r="H23" s="205">
        <v>21</v>
      </c>
      <c r="I23" s="205" t="s">
        <v>5</v>
      </c>
      <c r="J23" s="233">
        <v>476.45</v>
      </c>
      <c r="K23" s="236">
        <v>10005.45</v>
      </c>
      <c r="L23" s="244">
        <v>11</v>
      </c>
      <c r="M23" s="228" t="s">
        <v>39</v>
      </c>
      <c r="N23" s="267"/>
      <c r="O23" s="267"/>
      <c r="P23" s="267"/>
      <c r="Q23" s="77"/>
      <c r="R23" s="257"/>
      <c r="S23" s="77"/>
      <c r="T23" s="77"/>
      <c r="U23" s="77"/>
      <c r="V23" s="77"/>
      <c r="W23" s="77"/>
    </row>
    <row r="24" spans="1:30" ht="43.5" customHeight="1">
      <c r="A24" s="255" t="s">
        <v>27</v>
      </c>
      <c r="B24" s="375" t="s">
        <v>13</v>
      </c>
      <c r="C24" s="375"/>
      <c r="D24" s="375"/>
      <c r="E24" s="375"/>
      <c r="F24" s="375"/>
      <c r="G24" s="375"/>
      <c r="H24" s="205">
        <v>9</v>
      </c>
      <c r="I24" s="205" t="s">
        <v>5</v>
      </c>
      <c r="J24" s="233">
        <v>999</v>
      </c>
      <c r="K24" s="236">
        <v>8991</v>
      </c>
      <c r="L24" s="244">
        <v>12</v>
      </c>
      <c r="M24" s="228" t="s">
        <v>39</v>
      </c>
      <c r="N24" s="267"/>
      <c r="O24" s="267"/>
      <c r="P24" s="267"/>
      <c r="Q24" s="77"/>
      <c r="R24" s="229"/>
      <c r="S24" s="77"/>
      <c r="T24" s="77"/>
      <c r="U24" s="55"/>
      <c r="V24" s="77"/>
      <c r="AC24" s="77"/>
      <c r="AD24" s="55" t="s">
        <v>55</v>
      </c>
    </row>
    <row r="25" spans="1:30" ht="37.5" customHeight="1">
      <c r="A25" s="259">
        <v>2</v>
      </c>
      <c r="B25" s="376" t="s">
        <v>28</v>
      </c>
      <c r="C25" s="376"/>
      <c r="D25" s="376"/>
      <c r="E25" s="376"/>
      <c r="F25" s="376"/>
      <c r="G25" s="376"/>
      <c r="H25" s="251"/>
      <c r="I25" s="251"/>
      <c r="J25" s="249"/>
      <c r="K25" s="249">
        <v>20000</v>
      </c>
      <c r="L25" s="252"/>
      <c r="M25" s="253"/>
      <c r="N25" s="266"/>
      <c r="O25" s="266"/>
      <c r="P25" s="266"/>
      <c r="Q25" s="77"/>
      <c r="R25" s="77"/>
      <c r="S25" s="77"/>
      <c r="T25" s="77"/>
      <c r="U25" s="59"/>
      <c r="V25" s="77"/>
      <c r="AC25" s="77"/>
      <c r="AD25">
        <v>9.4</v>
      </c>
    </row>
    <row r="26" spans="1:30" ht="30" customHeight="1">
      <c r="A26" s="255" t="s">
        <v>66</v>
      </c>
      <c r="B26" s="375" t="s">
        <v>14</v>
      </c>
      <c r="C26" s="375"/>
      <c r="D26" s="375"/>
      <c r="E26" s="375"/>
      <c r="F26" s="375"/>
      <c r="G26" s="375"/>
      <c r="H26" s="205">
        <v>1</v>
      </c>
      <c r="I26" s="205" t="s">
        <v>15</v>
      </c>
      <c r="J26" s="233">
        <v>10000</v>
      </c>
      <c r="K26" s="236">
        <v>10000</v>
      </c>
      <c r="L26" s="244">
        <v>13</v>
      </c>
      <c r="M26" s="228" t="s">
        <v>39</v>
      </c>
      <c r="N26" s="267"/>
      <c r="O26" s="267"/>
      <c r="P26" s="267"/>
      <c r="Q26" s="77"/>
      <c r="R26" s="77"/>
      <c r="S26" s="77"/>
      <c r="T26" s="77"/>
      <c r="U26" s="59"/>
      <c r="V26" s="77"/>
      <c r="AC26" s="77"/>
      <c r="AD26">
        <v>31.6</v>
      </c>
    </row>
    <row r="27" spans="1:30" ht="31.5" customHeight="1">
      <c r="A27" s="255" t="s">
        <v>67</v>
      </c>
      <c r="B27" s="375" t="s">
        <v>16</v>
      </c>
      <c r="C27" s="375"/>
      <c r="D27" s="375"/>
      <c r="E27" s="375"/>
      <c r="F27" s="375"/>
      <c r="G27" s="375"/>
      <c r="H27" s="205">
        <v>1</v>
      </c>
      <c r="I27" s="205" t="s">
        <v>15</v>
      </c>
      <c r="J27" s="233">
        <v>10000</v>
      </c>
      <c r="K27" s="236">
        <v>10000</v>
      </c>
      <c r="L27" s="244">
        <v>14</v>
      </c>
      <c r="M27" s="228" t="s">
        <v>39</v>
      </c>
      <c r="N27" s="267"/>
      <c r="O27" s="267"/>
      <c r="P27" s="267"/>
      <c r="Q27" s="77"/>
      <c r="R27" s="77"/>
      <c r="S27" s="77"/>
      <c r="T27" s="77"/>
      <c r="U27" s="59"/>
      <c r="V27" s="77"/>
      <c r="AC27" s="77"/>
      <c r="AD27">
        <v>38</v>
      </c>
    </row>
    <row r="28" spans="1:29" ht="27" customHeight="1">
      <c r="A28" s="259">
        <v>3</v>
      </c>
      <c r="B28" s="376" t="s">
        <v>29</v>
      </c>
      <c r="C28" s="376"/>
      <c r="D28" s="376"/>
      <c r="E28" s="376"/>
      <c r="F28" s="376"/>
      <c r="G28" s="376"/>
      <c r="H28" s="251"/>
      <c r="I28" s="251"/>
      <c r="J28" s="249"/>
      <c r="K28" s="249">
        <v>31610.3</v>
      </c>
      <c r="L28" s="252"/>
      <c r="M28" s="253"/>
      <c r="N28" s="266"/>
      <c r="O28" s="266"/>
      <c r="P28" s="266"/>
      <c r="Q28" s="77"/>
      <c r="R28" s="77"/>
      <c r="S28" s="77"/>
      <c r="T28" s="77"/>
      <c r="U28" s="59"/>
      <c r="V28" s="77"/>
      <c r="AC28" s="77"/>
    </row>
    <row r="29" spans="1:29" ht="43.5" customHeight="1">
      <c r="A29" s="255" t="s">
        <v>69</v>
      </c>
      <c r="B29" s="375" t="s">
        <v>17</v>
      </c>
      <c r="C29" s="375"/>
      <c r="D29" s="375"/>
      <c r="E29" s="375"/>
      <c r="F29" s="375"/>
      <c r="G29" s="375"/>
      <c r="H29" s="205">
        <v>1</v>
      </c>
      <c r="I29" s="205" t="s">
        <v>18</v>
      </c>
      <c r="J29" s="233">
        <v>15805.15</v>
      </c>
      <c r="K29" s="236">
        <v>15805.15</v>
      </c>
      <c r="L29" s="244">
        <v>15</v>
      </c>
      <c r="M29" s="228" t="s">
        <v>39</v>
      </c>
      <c r="N29" s="267"/>
      <c r="O29" s="267"/>
      <c r="P29" s="267"/>
      <c r="Q29" s="77"/>
      <c r="R29" s="77"/>
      <c r="S29" s="77"/>
      <c r="T29" s="77"/>
      <c r="U29" s="59"/>
      <c r="V29" s="77"/>
      <c r="AC29" s="77"/>
    </row>
    <row r="30" spans="1:29" ht="33" customHeight="1">
      <c r="A30" s="255" t="s">
        <v>98</v>
      </c>
      <c r="B30" s="375" t="s">
        <v>19</v>
      </c>
      <c r="C30" s="375"/>
      <c r="D30" s="375"/>
      <c r="E30" s="375"/>
      <c r="F30" s="375"/>
      <c r="G30" s="375"/>
      <c r="H30" s="205">
        <v>1</v>
      </c>
      <c r="I30" s="205" t="s">
        <v>18</v>
      </c>
      <c r="J30" s="233">
        <v>15805.15</v>
      </c>
      <c r="K30" s="236">
        <v>15805.15</v>
      </c>
      <c r="L30" s="244">
        <v>16</v>
      </c>
      <c r="M30" s="228" t="s">
        <v>39</v>
      </c>
      <c r="N30" s="267"/>
      <c r="O30" s="267"/>
      <c r="P30" s="267"/>
      <c r="Q30" s="77"/>
      <c r="R30" s="77"/>
      <c r="S30" s="77"/>
      <c r="T30" s="77"/>
      <c r="U30" s="59"/>
      <c r="V30" s="77"/>
      <c r="AC30" s="77"/>
    </row>
    <row r="31" spans="1:29" ht="27" customHeight="1">
      <c r="A31" s="259">
        <v>4</v>
      </c>
      <c r="B31" s="376" t="s">
        <v>30</v>
      </c>
      <c r="C31" s="376"/>
      <c r="D31" s="376"/>
      <c r="E31" s="376"/>
      <c r="F31" s="376"/>
      <c r="G31" s="376"/>
      <c r="H31" s="251"/>
      <c r="I31" s="251"/>
      <c r="J31" s="249"/>
      <c r="K31" s="249">
        <v>22200</v>
      </c>
      <c r="L31" s="252"/>
      <c r="M31" s="253"/>
      <c r="N31" s="266"/>
      <c r="O31" s="266"/>
      <c r="P31" s="266"/>
      <c r="Q31" s="79"/>
      <c r="R31" s="79"/>
      <c r="S31" s="79"/>
      <c r="T31" s="79"/>
      <c r="U31" s="254"/>
      <c r="V31" s="77"/>
      <c r="AC31" s="77"/>
    </row>
    <row r="32" spans="1:29" ht="52.5" customHeight="1">
      <c r="A32" s="255" t="s">
        <v>79</v>
      </c>
      <c r="B32" s="375" t="s">
        <v>20</v>
      </c>
      <c r="C32" s="375"/>
      <c r="D32" s="375"/>
      <c r="E32" s="375"/>
      <c r="F32" s="375"/>
      <c r="G32" s="375"/>
      <c r="H32" s="205">
        <v>4</v>
      </c>
      <c r="I32" s="205" t="s">
        <v>0</v>
      </c>
      <c r="J32" s="233">
        <v>5550</v>
      </c>
      <c r="K32" s="236">
        <v>22200</v>
      </c>
      <c r="L32" s="244">
        <v>17</v>
      </c>
      <c r="M32" s="228" t="s">
        <v>39</v>
      </c>
      <c r="N32" s="267"/>
      <c r="O32" s="267"/>
      <c r="P32" s="267"/>
      <c r="Q32" s="77"/>
      <c r="R32" s="77"/>
      <c r="S32" s="77"/>
      <c r="T32" s="77"/>
      <c r="U32" s="59"/>
      <c r="V32" s="77"/>
      <c r="AC32" s="77"/>
    </row>
  </sheetData>
  <sheetProtection/>
  <mergeCells count="41">
    <mergeCell ref="E8:G8"/>
    <mergeCell ref="B24:G24"/>
    <mergeCell ref="B25:G25"/>
    <mergeCell ref="A5:M5"/>
    <mergeCell ref="A6:M6"/>
    <mergeCell ref="A7:D7"/>
    <mergeCell ref="E7:J7"/>
    <mergeCell ref="A1:M1"/>
    <mergeCell ref="A2:M2"/>
    <mergeCell ref="A3:M3"/>
    <mergeCell ref="A4:M4"/>
    <mergeCell ref="B29:G29"/>
    <mergeCell ref="B30:G30"/>
    <mergeCell ref="B31:G31"/>
    <mergeCell ref="B32:G32"/>
    <mergeCell ref="B26:G26"/>
    <mergeCell ref="B27:G27"/>
    <mergeCell ref="B28:G28"/>
    <mergeCell ref="B19:G19"/>
    <mergeCell ref="B20:G20"/>
    <mergeCell ref="B21:G21"/>
    <mergeCell ref="B22:G22"/>
    <mergeCell ref="B23:G23"/>
    <mergeCell ref="B15:G15"/>
    <mergeCell ref="B16:G16"/>
    <mergeCell ref="B17:G17"/>
    <mergeCell ref="B18:G18"/>
    <mergeCell ref="B11:G11"/>
    <mergeCell ref="B12:G12"/>
    <mergeCell ref="B13:G13"/>
    <mergeCell ref="B14:G14"/>
    <mergeCell ref="U6:U10"/>
    <mergeCell ref="V6:W6"/>
    <mergeCell ref="A9:A10"/>
    <mergeCell ref="B9:G10"/>
    <mergeCell ref="H9:H10"/>
    <mergeCell ref="I9:I10"/>
    <mergeCell ref="J9:K9"/>
    <mergeCell ref="L9:L10"/>
    <mergeCell ref="M9:M10"/>
    <mergeCell ref="A8:D8"/>
  </mergeCells>
  <printOptions/>
  <pageMargins left="0.25" right="0.25" top="0.75" bottom="0.75" header="0.3" footer="0.3"/>
  <pageSetup fitToHeight="1" fitToWidth="1" horizontalDpi="600" verticalDpi="600" orientation="portrait" paperSize="9" scale="66" r:id="rId2"/>
  <headerFooter alignWithMargins="0">
    <oddHeader>&amp;L&amp;G</oddHeader>
    <oddFooter>&amp;CPágina &amp;P de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V20"/>
  <sheetViews>
    <sheetView zoomScalePageLayoutView="0" workbookViewId="0" topLeftCell="C1">
      <selection activeCell="D25" sqref="D25:E25"/>
    </sheetView>
  </sheetViews>
  <sheetFormatPr defaultColWidth="9.140625" defaultRowHeight="12.75"/>
  <cols>
    <col min="2" max="2" width="93.00390625" style="0" customWidth="1"/>
    <col min="3" max="3" width="9.140625" style="8" customWidth="1"/>
    <col min="4" max="4" width="17.7109375" style="0" bestFit="1" customWidth="1"/>
    <col min="6" max="6" width="10.00390625" style="0" customWidth="1"/>
    <col min="8" max="8" width="10.7109375" style="0" bestFit="1" customWidth="1"/>
    <col min="9" max="10" width="9.140625" style="8" customWidth="1"/>
    <col min="12" max="12" width="10.28125" style="0" bestFit="1" customWidth="1"/>
    <col min="22" max="22" width="9.140625" style="8" customWidth="1"/>
  </cols>
  <sheetData>
    <row r="3" spans="9:12" ht="12.75">
      <c r="I3" s="56" t="s">
        <v>488</v>
      </c>
      <c r="J3" s="56" t="s">
        <v>491</v>
      </c>
      <c r="K3" s="55" t="s">
        <v>493</v>
      </c>
      <c r="L3" s="55" t="s">
        <v>492</v>
      </c>
    </row>
    <row r="4" spans="3:12" ht="12.75">
      <c r="C4" s="56" t="s">
        <v>481</v>
      </c>
      <c r="D4" s="55" t="s">
        <v>482</v>
      </c>
      <c r="E4" s="55" t="s">
        <v>483</v>
      </c>
      <c r="F4" s="55" t="s">
        <v>484</v>
      </c>
      <c r="G4" s="55" t="s">
        <v>485</v>
      </c>
      <c r="H4" s="55" t="s">
        <v>486</v>
      </c>
      <c r="I4" s="56" t="s">
        <v>487</v>
      </c>
      <c r="J4" s="56" t="s">
        <v>487</v>
      </c>
      <c r="K4" s="56" t="s">
        <v>487</v>
      </c>
      <c r="L4" s="56" t="s">
        <v>494</v>
      </c>
    </row>
    <row r="5" spans="2:12" ht="12.75">
      <c r="B5" s="55" t="s">
        <v>190</v>
      </c>
      <c r="C5" s="57">
        <f>(2*0.0254)*(1/4*0.0254)*7850</f>
        <v>2.532253</v>
      </c>
      <c r="D5" s="58">
        <f>1/0.03</f>
        <v>33.333333333333336</v>
      </c>
      <c r="E5" s="58">
        <f>C5*D5</f>
        <v>84.40843333333333</v>
      </c>
      <c r="F5" s="58">
        <f>6.12*3.2</f>
        <v>19.584000000000003</v>
      </c>
      <c r="G5" s="58">
        <f>F5*E5</f>
        <v>1653.0547584000003</v>
      </c>
      <c r="H5" s="58">
        <f>G5*1.1</f>
        <v>1818.3602342400004</v>
      </c>
      <c r="I5" s="8">
        <f>807.47/(0.006*7850)</f>
        <v>17.143736730360935</v>
      </c>
      <c r="J5" s="8">
        <f>0.2*I5</f>
        <v>3.4287473460721873</v>
      </c>
      <c r="K5">
        <f>ROUND(I5+J5,2)</f>
        <v>20.57</v>
      </c>
      <c r="L5" s="59">
        <f>H5*K5</f>
        <v>37403.67001831681</v>
      </c>
    </row>
    <row r="6" spans="2:12" ht="12.75">
      <c r="B6" s="55" t="s">
        <v>191</v>
      </c>
      <c r="C6" s="57">
        <f>(2*0.0254)*(1/4*0.0254)*7850</f>
        <v>2.532253</v>
      </c>
      <c r="D6" s="58">
        <f>1/0.1027</f>
        <v>9.737098344693282</v>
      </c>
      <c r="E6" s="58">
        <f>C6*D6</f>
        <v>24.656796494644595</v>
      </c>
      <c r="F6" s="58">
        <f>6.12*3.2</f>
        <v>19.584000000000003</v>
      </c>
      <c r="G6" s="58">
        <f>F6*E6</f>
        <v>482.87870255111983</v>
      </c>
      <c r="H6" s="58">
        <f>G6*1.1</f>
        <v>531.1665728062319</v>
      </c>
      <c r="I6" s="8">
        <f>I5</f>
        <v>17.143736730360935</v>
      </c>
      <c r="J6" s="8">
        <f>0.2*I6</f>
        <v>3.4287473460721873</v>
      </c>
      <c r="K6">
        <f>ROUND(I6+J6,2)</f>
        <v>20.57</v>
      </c>
      <c r="L6" s="59">
        <f>H6*K6</f>
        <v>10926.09640262419</v>
      </c>
    </row>
    <row r="10" spans="8:22" ht="12.75">
      <c r="H10" s="55"/>
      <c r="I10" s="56"/>
      <c r="J10" s="385" t="s">
        <v>614</v>
      </c>
      <c r="K10" s="386"/>
      <c r="L10" s="386"/>
      <c r="M10" s="386"/>
      <c r="N10" s="386"/>
      <c r="O10" s="386"/>
      <c r="P10" s="386"/>
      <c r="Q10" s="386"/>
      <c r="R10" s="386"/>
      <c r="S10" s="386"/>
      <c r="T10" s="385" t="s">
        <v>615</v>
      </c>
      <c r="U10" s="385"/>
      <c r="V10" s="56" t="s">
        <v>77</v>
      </c>
    </row>
    <row r="11" spans="4:22" s="8" customFormat="1" ht="12.75">
      <c r="D11" s="56" t="s">
        <v>600</v>
      </c>
      <c r="E11" s="56" t="s">
        <v>601</v>
      </c>
      <c r="F11" s="56" t="s">
        <v>602</v>
      </c>
      <c r="G11" s="56" t="s">
        <v>134</v>
      </c>
      <c r="H11" s="56" t="s">
        <v>605</v>
      </c>
      <c r="I11" s="56" t="s">
        <v>606</v>
      </c>
      <c r="J11" s="56" t="s">
        <v>607</v>
      </c>
      <c r="K11" s="56" t="s">
        <v>608</v>
      </c>
      <c r="L11" s="56" t="s">
        <v>609</v>
      </c>
      <c r="M11" s="56" t="s">
        <v>610</v>
      </c>
      <c r="N11" s="56" t="s">
        <v>134</v>
      </c>
      <c r="O11" s="56" t="s">
        <v>603</v>
      </c>
      <c r="P11" s="56" t="s">
        <v>604</v>
      </c>
      <c r="Q11" s="56" t="s">
        <v>611</v>
      </c>
      <c r="R11" s="56" t="s">
        <v>612</v>
      </c>
      <c r="S11" s="56" t="s">
        <v>613</v>
      </c>
      <c r="T11" s="56" t="s">
        <v>600</v>
      </c>
      <c r="U11" s="56" t="s">
        <v>601</v>
      </c>
      <c r="V11" s="56" t="s">
        <v>140</v>
      </c>
    </row>
    <row r="12" spans="4:22" s="8" customFormat="1" ht="12.75">
      <c r="D12" s="8">
        <v>800</v>
      </c>
      <c r="E12" s="8">
        <v>350</v>
      </c>
      <c r="F12" s="8">
        <v>18.2</v>
      </c>
      <c r="G12" s="8">
        <v>1000</v>
      </c>
      <c r="H12" s="8">
        <f>(D12-2*F12)/1000</f>
        <v>0.7636000000000001</v>
      </c>
      <c r="I12" s="8">
        <f>(E12-2*F12)/1000</f>
        <v>0.31360000000000005</v>
      </c>
      <c r="J12" s="8">
        <f>D12/2000</f>
        <v>0.4</v>
      </c>
      <c r="K12" s="8">
        <f>E12/2000</f>
        <v>0.175</v>
      </c>
      <c r="L12" s="8">
        <f>H12/2</f>
        <v>0.38180000000000003</v>
      </c>
      <c r="M12" s="8">
        <f>I12/2</f>
        <v>0.15680000000000002</v>
      </c>
      <c r="N12" s="8">
        <f>G12/1000</f>
        <v>1</v>
      </c>
      <c r="O12" s="68">
        <f>PI()*N12/3*(J12^2+J12*K12+K12^2)</f>
        <v>0.2729258617806133</v>
      </c>
      <c r="P12" s="8">
        <f>PI()*N12/3*(L12^2+L12*M12+M12^2)</f>
        <v>0.2410897158113712</v>
      </c>
      <c r="Q12" s="8">
        <f>O12-P12</f>
        <v>0.031836145969242086</v>
      </c>
      <c r="R12" s="8">
        <v>7050</v>
      </c>
      <c r="S12" s="8">
        <f>ROUND(Q12*R12,0)</f>
        <v>224</v>
      </c>
      <c r="T12" s="8">
        <v>117</v>
      </c>
      <c r="U12" s="8">
        <v>26</v>
      </c>
      <c r="V12" s="8">
        <f>S12+T12+U12</f>
        <v>367</v>
      </c>
    </row>
    <row r="13" spans="4:22" s="8" customFormat="1" ht="12.75">
      <c r="D13" s="8">
        <v>600</v>
      </c>
      <c r="E13" s="8">
        <v>250</v>
      </c>
      <c r="F13" s="8">
        <v>18.2</v>
      </c>
      <c r="G13" s="8">
        <v>280</v>
      </c>
      <c r="H13" s="8">
        <f>(D13-2*F13)/1000</f>
        <v>0.5636</v>
      </c>
      <c r="I13" s="8">
        <f>(E13-2*F13)/1000</f>
        <v>0.21359999999999998</v>
      </c>
      <c r="J13" s="8">
        <f>D13/2000</f>
        <v>0.3</v>
      </c>
      <c r="K13" s="8">
        <f>E13/2000</f>
        <v>0.125</v>
      </c>
      <c r="L13" s="8">
        <f>H13/2</f>
        <v>0.2818</v>
      </c>
      <c r="M13" s="8">
        <f>I13/2</f>
        <v>0.10679999999999999</v>
      </c>
      <c r="N13" s="8">
        <f>G13/1000</f>
        <v>0.28</v>
      </c>
      <c r="O13" s="68">
        <f>PI()*N13/3*(J13^2+J13*K13+K13^2)</f>
        <v>0.04196644186420366</v>
      </c>
      <c r="P13" s="8">
        <f>PI()*N13/3*(L13^2+L13*M13+M13^2)</f>
        <v>0.0354537544172199</v>
      </c>
      <c r="Q13" s="8">
        <f>O13-P13</f>
        <v>0.006512687446983759</v>
      </c>
      <c r="R13" s="8">
        <v>7051</v>
      </c>
      <c r="S13" s="8">
        <f>ROUND(Q13*R13,0)</f>
        <v>46</v>
      </c>
      <c r="T13" s="8">
        <v>82</v>
      </c>
      <c r="U13" s="8">
        <v>14.5</v>
      </c>
      <c r="V13" s="8">
        <f>S13+T13+U13</f>
        <v>142.5</v>
      </c>
    </row>
    <row r="14" s="8" customFormat="1" ht="12.75"/>
    <row r="15" spans="5:7" s="8" customFormat="1" ht="12.75">
      <c r="E15" s="56" t="s">
        <v>620</v>
      </c>
      <c r="F15" s="56" t="s">
        <v>621</v>
      </c>
      <c r="G15" s="56" t="s">
        <v>140</v>
      </c>
    </row>
    <row r="16" spans="4:7" s="8" customFormat="1" ht="12.75">
      <c r="D16" s="56" t="s">
        <v>616</v>
      </c>
      <c r="E16" s="8">
        <f>2.037*2+7.064*2+7.064*2</f>
        <v>32.33</v>
      </c>
      <c r="F16" s="8">
        <v>3.548</v>
      </c>
      <c r="G16" s="8">
        <f>E16*F16</f>
        <v>114.70684</v>
      </c>
    </row>
    <row r="17" spans="4:7" s="8" customFormat="1" ht="12.75">
      <c r="D17" s="56" t="s">
        <v>617</v>
      </c>
      <c r="E17" s="8">
        <f>2.037</f>
        <v>2.037</v>
      </c>
      <c r="F17" s="8">
        <v>6.129</v>
      </c>
      <c r="G17" s="8">
        <f>E17*F17</f>
        <v>12.484772999999999</v>
      </c>
    </row>
    <row r="18" spans="4:7" s="8" customFormat="1" ht="12.75">
      <c r="D18" s="56" t="s">
        <v>618</v>
      </c>
      <c r="E18" s="8">
        <f>2.037*4+7.064</f>
        <v>15.212</v>
      </c>
      <c r="F18" s="8">
        <v>2.72</v>
      </c>
      <c r="G18" s="8">
        <f>E18*F18</f>
        <v>41.37664</v>
      </c>
    </row>
    <row r="19" spans="4:7" s="8" customFormat="1" ht="12.75">
      <c r="D19" s="56" t="s">
        <v>619</v>
      </c>
      <c r="E19" s="8">
        <f>2.037*7.064</f>
        <v>14.389368</v>
      </c>
      <c r="F19" s="56">
        <f>PI()*(1/8*0.0254)^2/4*1.25*7850/0.01*2</f>
        <v>15.537709808263111</v>
      </c>
      <c r="G19" s="8">
        <f>E19*F19</f>
        <v>223.57782430830733</v>
      </c>
    </row>
    <row r="20" s="8" customFormat="1" ht="12.75">
      <c r="G20" s="8">
        <f>SUM(G16:G19)</f>
        <v>392.1460773083073</v>
      </c>
    </row>
    <row r="21" s="8" customFormat="1" ht="12.75"/>
  </sheetData>
  <sheetProtection/>
  <mergeCells count="2">
    <mergeCell ref="J10:S10"/>
    <mergeCell ref="T10:U10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E21"/>
  <sheetViews>
    <sheetView zoomScalePageLayoutView="0" workbookViewId="0" topLeftCell="A1">
      <selection activeCell="D25" sqref="D25:E25"/>
    </sheetView>
  </sheetViews>
  <sheetFormatPr defaultColWidth="9.140625" defaultRowHeight="12.75"/>
  <cols>
    <col min="2" max="2" width="54.57421875" style="0" bestFit="1" customWidth="1"/>
    <col min="3" max="3" width="9.140625" style="8" customWidth="1"/>
    <col min="4" max="4" width="10.28125" style="8" bestFit="1" customWidth="1"/>
    <col min="5" max="5" width="9.140625" style="8" customWidth="1"/>
  </cols>
  <sheetData>
    <row r="4" spans="3:5" ht="12.75">
      <c r="C4" s="56" t="s">
        <v>485</v>
      </c>
      <c r="D4" s="56" t="s">
        <v>497</v>
      </c>
      <c r="E4" s="56" t="s">
        <v>487</v>
      </c>
    </row>
    <row r="5" spans="2:5" ht="12.75">
      <c r="B5" s="55" t="s">
        <v>470</v>
      </c>
      <c r="C5" s="57">
        <v>563</v>
      </c>
      <c r="D5" s="57"/>
      <c r="E5" s="57"/>
    </row>
    <row r="6" spans="3:5" ht="12.75">
      <c r="C6" s="57"/>
      <c r="D6" s="57"/>
      <c r="E6" s="57"/>
    </row>
    <row r="7" spans="2:5" ht="12.75">
      <c r="B7" s="55" t="s">
        <v>496</v>
      </c>
      <c r="C7" s="57">
        <f>155/1</f>
        <v>155</v>
      </c>
      <c r="D7" s="57">
        <v>4483.9</v>
      </c>
      <c r="E7" s="57">
        <f>D7/C7</f>
        <v>28.92838709677419</v>
      </c>
    </row>
    <row r="8" spans="2:5" ht="12.75">
      <c r="B8" s="55" t="s">
        <v>498</v>
      </c>
      <c r="C8" s="57">
        <f>1040/2</f>
        <v>520</v>
      </c>
      <c r="D8" s="57">
        <v>12229.05</v>
      </c>
      <c r="E8" s="57">
        <f>D8/C8</f>
        <v>23.517403846153844</v>
      </c>
    </row>
    <row r="9" spans="2:5" ht="12.75">
      <c r="B9" s="55"/>
      <c r="C9" s="57"/>
      <c r="D9" s="57"/>
      <c r="E9" s="57"/>
    </row>
    <row r="10" spans="2:5" ht="12.75">
      <c r="B10" s="55" t="s">
        <v>499</v>
      </c>
      <c r="C10" s="57">
        <f>378.8/4</f>
        <v>94.7</v>
      </c>
      <c r="D10" s="57">
        <v>1424.39</v>
      </c>
      <c r="E10" s="57">
        <f>D10/C10</f>
        <v>15.041077085533264</v>
      </c>
    </row>
    <row r="11" spans="3:5" ht="12.75">
      <c r="C11" s="57"/>
      <c r="D11" s="57"/>
      <c r="E11" s="57"/>
    </row>
    <row r="12" spans="3:5" ht="12.75">
      <c r="C12" s="57"/>
      <c r="D12" s="57"/>
      <c r="E12" s="57"/>
    </row>
    <row r="13" spans="2:5" ht="12.75">
      <c r="B13" s="55" t="s">
        <v>500</v>
      </c>
      <c r="C13" s="57">
        <f>580/2</f>
        <v>290</v>
      </c>
      <c r="D13" s="57">
        <v>8213.48</v>
      </c>
      <c r="E13" s="57">
        <f>D13/C13</f>
        <v>28.322344827586207</v>
      </c>
    </row>
    <row r="14" spans="3:5" ht="12.75">
      <c r="C14" s="57"/>
      <c r="D14" s="57"/>
      <c r="E14" s="57"/>
    </row>
    <row r="15" spans="2:5" ht="12.75">
      <c r="B15" s="55" t="s">
        <v>501</v>
      </c>
      <c r="C15" s="57">
        <f>97.5/1</f>
        <v>97.5</v>
      </c>
      <c r="D15" s="57">
        <v>1813.59</v>
      </c>
      <c r="E15" s="57">
        <f>D15/C15</f>
        <v>18.600923076923078</v>
      </c>
    </row>
    <row r="16" spans="3:5" ht="12.75">
      <c r="C16" s="57"/>
      <c r="D16" s="57"/>
      <c r="E16" s="57"/>
    </row>
    <row r="17" spans="2:5" ht="12.75">
      <c r="B17" s="55" t="s">
        <v>502</v>
      </c>
      <c r="C17" s="57">
        <f>286/1</f>
        <v>286</v>
      </c>
      <c r="D17" s="57">
        <v>4874.04</v>
      </c>
      <c r="E17" s="57">
        <f>D17/C17</f>
        <v>17.0420979020979</v>
      </c>
    </row>
    <row r="18" spans="3:5" ht="12.75">
      <c r="C18" s="57"/>
      <c r="D18" s="57"/>
      <c r="E18" s="57"/>
    </row>
    <row r="19" spans="3:5" ht="12.75">
      <c r="C19" s="57"/>
      <c r="D19" s="57"/>
      <c r="E19" s="57"/>
    </row>
    <row r="20" spans="3:5" ht="12.75">
      <c r="C20" s="57"/>
      <c r="D20" s="57"/>
      <c r="E20" s="57"/>
    </row>
    <row r="21" spans="3:5" ht="12.75">
      <c r="C21" s="57"/>
      <c r="D21" s="57"/>
      <c r="E21" s="57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1"/>
  <sheetViews>
    <sheetView zoomScalePageLayoutView="0" workbookViewId="0" topLeftCell="A1">
      <selection activeCell="L17" sqref="L17"/>
    </sheetView>
  </sheetViews>
  <sheetFormatPr defaultColWidth="9.140625" defaultRowHeight="12.75"/>
  <cols>
    <col min="3" max="3" width="9.28125" style="0" customWidth="1"/>
    <col min="4" max="4" width="39.7109375" style="0" customWidth="1"/>
    <col min="7" max="7" width="11.8515625" style="0" bestFit="1" customWidth="1"/>
    <col min="8" max="8" width="14.28125" style="0" bestFit="1" customWidth="1"/>
  </cols>
  <sheetData>
    <row r="1" spans="1:8" ht="16.5" thickBot="1">
      <c r="A1" s="200"/>
      <c r="B1" s="387" t="s">
        <v>966</v>
      </c>
      <c r="C1" s="387"/>
      <c r="D1" s="387"/>
      <c r="E1" s="387"/>
      <c r="F1" s="387"/>
      <c r="G1" s="387"/>
      <c r="H1" s="388"/>
    </row>
    <row r="2" spans="1:8" ht="15.75" thickBot="1">
      <c r="A2" s="389" t="s">
        <v>947</v>
      </c>
      <c r="B2" s="390"/>
      <c r="C2" s="390"/>
      <c r="D2" s="390"/>
      <c r="E2" s="390"/>
      <c r="F2" s="390"/>
      <c r="G2" s="390"/>
      <c r="H2" s="391"/>
    </row>
    <row r="3" spans="1:8" s="168" customFormat="1" ht="15">
      <c r="A3" s="224"/>
      <c r="B3" s="224"/>
      <c r="C3" s="224"/>
      <c r="D3" s="224"/>
      <c r="E3" s="224"/>
      <c r="F3" s="224"/>
      <c r="G3" s="224"/>
      <c r="H3" s="224"/>
    </row>
    <row r="4" spans="1:8" ht="12.75">
      <c r="A4" s="218"/>
      <c r="B4" s="218"/>
      <c r="C4" s="218"/>
      <c r="D4" s="218"/>
      <c r="E4" s="218"/>
      <c r="F4" s="218"/>
      <c r="G4" s="218"/>
      <c r="H4" s="223" t="s">
        <v>941</v>
      </c>
    </row>
    <row r="5" spans="1:8" ht="12.75">
      <c r="A5" s="154" t="s">
        <v>938</v>
      </c>
      <c r="B5" s="183"/>
      <c r="C5" s="155"/>
      <c r="D5" s="184" t="s">
        <v>939</v>
      </c>
      <c r="E5" s="156" t="s">
        <v>75</v>
      </c>
      <c r="F5" s="156" t="s">
        <v>940</v>
      </c>
      <c r="G5" s="185" t="s">
        <v>953</v>
      </c>
      <c r="H5" s="189">
        <f>SUM(H8:H11)</f>
        <v>3161.5</v>
      </c>
    </row>
    <row r="6" spans="1:8" ht="33.75">
      <c r="A6" s="186" t="s">
        <v>942</v>
      </c>
      <c r="B6" s="187"/>
      <c r="C6" s="187"/>
      <c r="D6" s="188" t="s">
        <v>950</v>
      </c>
      <c r="E6" s="157" t="s">
        <v>954</v>
      </c>
      <c r="F6" s="158">
        <v>42934</v>
      </c>
      <c r="G6" s="158" t="s">
        <v>955</v>
      </c>
      <c r="H6" s="160" t="s">
        <v>959</v>
      </c>
    </row>
    <row r="7" spans="1:8" ht="12.75">
      <c r="A7" s="159"/>
      <c r="B7" s="190" t="s">
        <v>953</v>
      </c>
      <c r="C7" s="191" t="s">
        <v>938</v>
      </c>
      <c r="D7" s="192" t="s">
        <v>956</v>
      </c>
      <c r="E7" s="160" t="s">
        <v>75</v>
      </c>
      <c r="F7" s="160" t="s">
        <v>957</v>
      </c>
      <c r="G7" s="160" t="s">
        <v>958</v>
      </c>
      <c r="H7" s="225"/>
    </row>
    <row r="8" spans="1:8" ht="12.75">
      <c r="A8" s="161"/>
      <c r="B8" s="163" t="s">
        <v>955</v>
      </c>
      <c r="C8" s="194" t="s">
        <v>965</v>
      </c>
      <c r="D8" s="195" t="s">
        <v>963</v>
      </c>
      <c r="E8" s="163" t="s">
        <v>829</v>
      </c>
      <c r="F8" s="164">
        <v>40</v>
      </c>
      <c r="G8" s="196">
        <v>15.33</v>
      </c>
      <c r="H8" s="193">
        <f>G8*F8</f>
        <v>613.2</v>
      </c>
    </row>
    <row r="9" spans="1:8" ht="22.5">
      <c r="A9" s="161"/>
      <c r="B9" s="163" t="s">
        <v>955</v>
      </c>
      <c r="C9" s="194" t="s">
        <v>962</v>
      </c>
      <c r="D9" s="195" t="s">
        <v>964</v>
      </c>
      <c r="E9" s="163" t="s">
        <v>829</v>
      </c>
      <c r="F9" s="164">
        <v>40</v>
      </c>
      <c r="G9" s="196">
        <v>12.31</v>
      </c>
      <c r="H9" s="193">
        <f>G9*F9</f>
        <v>492.40000000000003</v>
      </c>
    </row>
    <row r="10" spans="1:8" ht="22.5">
      <c r="A10" s="162"/>
      <c r="B10" s="163" t="s">
        <v>960</v>
      </c>
      <c r="C10" s="201" t="s">
        <v>971</v>
      </c>
      <c r="D10" s="195" t="s">
        <v>969</v>
      </c>
      <c r="E10" s="163" t="s">
        <v>970</v>
      </c>
      <c r="F10" s="164">
        <v>10</v>
      </c>
      <c r="G10" s="196">
        <v>134.71</v>
      </c>
      <c r="H10" s="193">
        <f>G10*F10</f>
        <v>1347.1000000000001</v>
      </c>
    </row>
    <row r="11" spans="1:8" ht="12.75">
      <c r="A11" s="162"/>
      <c r="B11" s="163" t="s">
        <v>955</v>
      </c>
      <c r="C11" s="163">
        <v>88317</v>
      </c>
      <c r="D11" s="195" t="s">
        <v>972</v>
      </c>
      <c r="E11" s="203" t="s">
        <v>829</v>
      </c>
      <c r="F11" s="202">
        <v>40</v>
      </c>
      <c r="G11" s="204">
        <v>17.72</v>
      </c>
      <c r="H11" s="193">
        <f>G11*F11</f>
        <v>708.8</v>
      </c>
    </row>
    <row r="12" spans="1:8" ht="12.75">
      <c r="A12" s="197" t="s">
        <v>961</v>
      </c>
      <c r="B12" s="198"/>
      <c r="C12" s="199"/>
      <c r="D12" s="215"/>
      <c r="E12" s="216"/>
      <c r="F12" s="216"/>
      <c r="G12" s="217"/>
      <c r="H12" s="222"/>
    </row>
    <row r="13" spans="1:8" ht="12.75">
      <c r="A13" s="165"/>
      <c r="B13" s="219"/>
      <c r="C13" s="220"/>
      <c r="D13" s="221"/>
      <c r="E13" s="221"/>
      <c r="F13" s="221"/>
      <c r="G13" s="221"/>
      <c r="H13" s="3"/>
    </row>
    <row r="14" ht="12.75">
      <c r="H14" s="223" t="s">
        <v>941</v>
      </c>
    </row>
    <row r="15" spans="1:8" ht="12.75">
      <c r="A15" s="154" t="s">
        <v>938</v>
      </c>
      <c r="B15" s="183"/>
      <c r="C15" s="155"/>
      <c r="D15" s="184" t="s">
        <v>939</v>
      </c>
      <c r="E15" s="156" t="s">
        <v>75</v>
      </c>
      <c r="F15" s="156" t="s">
        <v>940</v>
      </c>
      <c r="G15" s="185" t="s">
        <v>953</v>
      </c>
      <c r="H15" s="189" t="e">
        <f>SUM(H18:H22)</f>
        <v>#REF!</v>
      </c>
    </row>
    <row r="16" spans="1:8" ht="22.5">
      <c r="A16" s="186" t="s">
        <v>943</v>
      </c>
      <c r="B16" s="187"/>
      <c r="C16" s="187"/>
      <c r="D16" s="188" t="s">
        <v>987</v>
      </c>
      <c r="E16" s="157" t="s">
        <v>954</v>
      </c>
      <c r="F16" s="158">
        <v>42940</v>
      </c>
      <c r="G16" s="158" t="s">
        <v>955</v>
      </c>
      <c r="H16" s="160" t="s">
        <v>959</v>
      </c>
    </row>
    <row r="17" spans="1:8" ht="12.75">
      <c r="A17" s="159"/>
      <c r="B17" s="190" t="s">
        <v>953</v>
      </c>
      <c r="C17" s="191" t="s">
        <v>938</v>
      </c>
      <c r="D17" s="192" t="s">
        <v>956</v>
      </c>
      <c r="E17" s="160" t="s">
        <v>75</v>
      </c>
      <c r="F17" s="160" t="s">
        <v>957</v>
      </c>
      <c r="G17" s="160" t="s">
        <v>958</v>
      </c>
      <c r="H17" s="225"/>
    </row>
    <row r="18" spans="1:8" ht="22.5">
      <c r="A18" s="161"/>
      <c r="B18" s="163" t="s">
        <v>955</v>
      </c>
      <c r="C18" s="194" t="s">
        <v>976</v>
      </c>
      <c r="D18" s="195" t="s">
        <v>977</v>
      </c>
      <c r="E18" s="163" t="s">
        <v>829</v>
      </c>
      <c r="F18" s="164">
        <v>3</v>
      </c>
      <c r="G18" s="196">
        <v>21.03</v>
      </c>
      <c r="H18" s="193">
        <f>G18*F18</f>
        <v>63.09</v>
      </c>
    </row>
    <row r="19" spans="1:8" ht="12.75">
      <c r="A19" s="161"/>
      <c r="B19" s="163" t="s">
        <v>955</v>
      </c>
      <c r="C19" s="194" t="s">
        <v>974</v>
      </c>
      <c r="D19" s="195" t="s">
        <v>975</v>
      </c>
      <c r="E19" s="163" t="s">
        <v>829</v>
      </c>
      <c r="F19" s="164">
        <v>3</v>
      </c>
      <c r="G19" s="196">
        <v>11.64</v>
      </c>
      <c r="H19" s="193">
        <f>G19*F19</f>
        <v>34.92</v>
      </c>
    </row>
    <row r="20" spans="1:8" ht="33.75">
      <c r="A20" s="161"/>
      <c r="B20" s="163" t="s">
        <v>955</v>
      </c>
      <c r="C20" s="194" t="s">
        <v>978</v>
      </c>
      <c r="D20" s="195" t="s">
        <v>979</v>
      </c>
      <c r="E20" s="163" t="s">
        <v>973</v>
      </c>
      <c r="F20" s="164">
        <v>8</v>
      </c>
      <c r="G20" s="196">
        <v>75.6</v>
      </c>
      <c r="H20" s="193">
        <f>G20*F20</f>
        <v>604.8</v>
      </c>
    </row>
    <row r="21" spans="1:12" ht="12.75">
      <c r="A21" s="162"/>
      <c r="B21" s="163" t="s">
        <v>981</v>
      </c>
      <c r="C21" s="194" t="s">
        <v>982</v>
      </c>
      <c r="D21" s="195" t="e">
        <f>#REF!</f>
        <v>#REF!</v>
      </c>
      <c r="E21" s="163" t="s">
        <v>980</v>
      </c>
      <c r="F21" s="164">
        <v>0.6</v>
      </c>
      <c r="G21" s="196" t="e">
        <f>#REF!</f>
        <v>#REF!</v>
      </c>
      <c r="H21" s="193" t="e">
        <f>G21*F21</f>
        <v>#REF!</v>
      </c>
      <c r="I21" s="168"/>
      <c r="J21" s="168"/>
      <c r="K21" s="168"/>
      <c r="L21" s="168"/>
    </row>
    <row r="22" spans="1:12" ht="12.75">
      <c r="A22" s="162"/>
      <c r="B22" s="163" t="s">
        <v>981</v>
      </c>
      <c r="C22" s="201" t="s">
        <v>983</v>
      </c>
      <c r="D22" s="195" t="e">
        <f>#REF!</f>
        <v>#REF!</v>
      </c>
      <c r="E22" s="163" t="s">
        <v>980</v>
      </c>
      <c r="F22" s="164">
        <v>1</v>
      </c>
      <c r="G22" s="196" t="e">
        <f>#REF!</f>
        <v>#REF!</v>
      </c>
      <c r="H22" s="193" t="e">
        <f>G22*F22</f>
        <v>#REF!</v>
      </c>
      <c r="I22" s="168"/>
      <c r="J22" s="168"/>
      <c r="K22" s="168"/>
      <c r="L22" s="168"/>
    </row>
    <row r="23" spans="1:12" ht="12.75">
      <c r="A23" s="197" t="s">
        <v>961</v>
      </c>
      <c r="B23" s="198"/>
      <c r="C23" s="199"/>
      <c r="D23" s="215"/>
      <c r="E23" s="216"/>
      <c r="F23" s="216"/>
      <c r="G23" s="217"/>
      <c r="H23" s="225"/>
      <c r="I23" s="168"/>
      <c r="J23" s="168"/>
      <c r="K23" s="168"/>
      <c r="L23" s="168"/>
    </row>
    <row r="24" spans="1:7" s="168" customFormat="1" ht="12.75">
      <c r="A24" s="165"/>
      <c r="B24" s="219"/>
      <c r="C24" s="220"/>
      <c r="D24" s="221"/>
      <c r="E24" s="221"/>
      <c r="F24" s="221"/>
      <c r="G24" s="221"/>
    </row>
    <row r="25" spans="8:12" ht="12.75">
      <c r="H25" s="223" t="s">
        <v>941</v>
      </c>
      <c r="I25" s="168"/>
      <c r="J25" s="168"/>
      <c r="K25" s="168"/>
      <c r="L25" s="168"/>
    </row>
    <row r="26" spans="1:12" ht="12.75">
      <c r="A26" s="154" t="s">
        <v>938</v>
      </c>
      <c r="B26" s="183"/>
      <c r="C26" s="155"/>
      <c r="D26" s="184" t="s">
        <v>939</v>
      </c>
      <c r="E26" s="156" t="s">
        <v>75</v>
      </c>
      <c r="F26" s="156" t="s">
        <v>940</v>
      </c>
      <c r="G26" s="185" t="s">
        <v>953</v>
      </c>
      <c r="H26" s="189" t="e">
        <f>SUM(H29:H30)</f>
        <v>#REF!</v>
      </c>
      <c r="I26" s="168"/>
      <c r="J26" s="168"/>
      <c r="K26" s="168"/>
      <c r="L26" s="168"/>
    </row>
    <row r="27" spans="1:12" ht="33.75">
      <c r="A27" s="186" t="s">
        <v>944</v>
      </c>
      <c r="B27" s="187"/>
      <c r="C27" s="187"/>
      <c r="D27" s="188" t="s">
        <v>991</v>
      </c>
      <c r="E27" s="157" t="s">
        <v>954</v>
      </c>
      <c r="F27" s="158">
        <v>42940</v>
      </c>
      <c r="G27" s="158" t="s">
        <v>955</v>
      </c>
      <c r="H27" s="160" t="s">
        <v>959</v>
      </c>
      <c r="I27" s="168"/>
      <c r="J27" s="168"/>
      <c r="K27" s="168"/>
      <c r="L27" s="168"/>
    </row>
    <row r="28" spans="1:12" ht="12.75">
      <c r="A28" s="159"/>
      <c r="B28" s="190" t="s">
        <v>953</v>
      </c>
      <c r="C28" s="191" t="s">
        <v>938</v>
      </c>
      <c r="D28" s="192" t="s">
        <v>956</v>
      </c>
      <c r="E28" s="160" t="s">
        <v>75</v>
      </c>
      <c r="F28" s="160" t="s">
        <v>957</v>
      </c>
      <c r="G28" s="160" t="s">
        <v>958</v>
      </c>
      <c r="H28" s="225"/>
      <c r="I28" s="168"/>
      <c r="J28" s="168"/>
      <c r="K28" s="168"/>
      <c r="L28" s="168"/>
    </row>
    <row r="29" spans="1:12" ht="12.75">
      <c r="A29" s="161"/>
      <c r="B29" s="163" t="s">
        <v>981</v>
      </c>
      <c r="C29" s="194" t="s">
        <v>988</v>
      </c>
      <c r="D29" s="195" t="e">
        <f>#REF!</f>
        <v>#REF!</v>
      </c>
      <c r="E29" s="163" t="s">
        <v>980</v>
      </c>
      <c r="F29" s="164">
        <v>1</v>
      </c>
      <c r="G29" s="196" t="e">
        <f>#REF!</f>
        <v>#REF!</v>
      </c>
      <c r="H29" s="193" t="e">
        <f>G29*F29</f>
        <v>#REF!</v>
      </c>
      <c r="I29" s="168"/>
      <c r="J29" s="168"/>
      <c r="K29" s="168"/>
      <c r="L29" s="168"/>
    </row>
    <row r="30" spans="1:12" ht="22.5">
      <c r="A30" s="161"/>
      <c r="B30" s="163" t="s">
        <v>984</v>
      </c>
      <c r="C30" s="194" t="s">
        <v>943</v>
      </c>
      <c r="D30" s="195" t="str">
        <f>D16</f>
        <v>FORNECIMENTO E INSTALACAO DE TALHA E TROLE MANUAL DE 5 TONELADAS</v>
      </c>
      <c r="E30" s="163" t="s">
        <v>980</v>
      </c>
      <c r="F30" s="164">
        <v>1</v>
      </c>
      <c r="G30" s="196" t="e">
        <f>H15</f>
        <v>#REF!</v>
      </c>
      <c r="H30" s="193" t="e">
        <f>G30*F30</f>
        <v>#REF!</v>
      </c>
      <c r="I30" s="168"/>
      <c r="J30" s="168"/>
      <c r="K30" s="168"/>
      <c r="L30" s="168"/>
    </row>
    <row r="31" spans="1:12" ht="12.75">
      <c r="A31" s="197" t="s">
        <v>961</v>
      </c>
      <c r="B31" s="198"/>
      <c r="C31" s="199"/>
      <c r="D31" s="215"/>
      <c r="E31" s="216"/>
      <c r="F31" s="216"/>
      <c r="G31" s="217"/>
      <c r="H31" s="225"/>
      <c r="I31" s="168"/>
      <c r="J31" s="168"/>
      <c r="K31" s="168"/>
      <c r="L31" s="168"/>
    </row>
    <row r="32" spans="1:7" s="168" customFormat="1" ht="12.75">
      <c r="A32" s="165"/>
      <c r="B32" s="219"/>
      <c r="C32" s="220"/>
      <c r="D32" s="221"/>
      <c r="E32" s="221"/>
      <c r="F32" s="221"/>
      <c r="G32" s="221"/>
    </row>
    <row r="33" spans="8:12" ht="12.75">
      <c r="H33" s="223" t="s">
        <v>941</v>
      </c>
      <c r="I33" s="168"/>
      <c r="J33" s="168"/>
      <c r="K33" s="168"/>
      <c r="L33" s="168"/>
    </row>
    <row r="34" spans="1:12" ht="12.75">
      <c r="A34" s="154" t="s">
        <v>938</v>
      </c>
      <c r="B34" s="183"/>
      <c r="C34" s="155"/>
      <c r="D34" s="184" t="s">
        <v>939</v>
      </c>
      <c r="E34" s="156" t="s">
        <v>75</v>
      </c>
      <c r="F34" s="156" t="s">
        <v>940</v>
      </c>
      <c r="G34" s="185" t="s">
        <v>953</v>
      </c>
      <c r="H34" s="189" t="e">
        <f>SUM(H37:H38)</f>
        <v>#REF!</v>
      </c>
      <c r="I34" s="168"/>
      <c r="J34" s="168"/>
      <c r="K34" s="168"/>
      <c r="L34" s="168"/>
    </row>
    <row r="35" spans="1:12" ht="33.75">
      <c r="A35" s="186" t="s">
        <v>945</v>
      </c>
      <c r="B35" s="187"/>
      <c r="C35" s="187"/>
      <c r="D35" s="188" t="s">
        <v>992</v>
      </c>
      <c r="E35" s="157" t="s">
        <v>954</v>
      </c>
      <c r="F35" s="158">
        <v>42940</v>
      </c>
      <c r="G35" s="158" t="s">
        <v>955</v>
      </c>
      <c r="H35" s="160" t="s">
        <v>959</v>
      </c>
      <c r="I35" s="168"/>
      <c r="J35" s="168"/>
      <c r="K35" s="168"/>
      <c r="L35" s="168"/>
    </row>
    <row r="36" spans="1:12" ht="12.75">
      <c r="A36" s="159"/>
      <c r="B36" s="190" t="s">
        <v>953</v>
      </c>
      <c r="C36" s="191" t="s">
        <v>938</v>
      </c>
      <c r="D36" s="192" t="s">
        <v>956</v>
      </c>
      <c r="E36" s="160" t="s">
        <v>75</v>
      </c>
      <c r="F36" s="160" t="s">
        <v>957</v>
      </c>
      <c r="G36" s="160" t="s">
        <v>958</v>
      </c>
      <c r="H36" s="225"/>
      <c r="I36" s="168"/>
      <c r="J36" s="168"/>
      <c r="K36" s="168"/>
      <c r="L36" s="168"/>
    </row>
    <row r="37" spans="1:12" ht="12.75">
      <c r="A37" s="161"/>
      <c r="B37" s="163" t="s">
        <v>981</v>
      </c>
      <c r="C37" s="194" t="s">
        <v>989</v>
      </c>
      <c r="D37" s="195" t="e">
        <f>#REF!</f>
        <v>#REF!</v>
      </c>
      <c r="E37" s="163" t="s">
        <v>980</v>
      </c>
      <c r="F37" s="164">
        <v>1</v>
      </c>
      <c r="G37" s="196" t="e">
        <f>#REF!</f>
        <v>#REF!</v>
      </c>
      <c r="H37" s="193" t="e">
        <f>G37*F37</f>
        <v>#REF!</v>
      </c>
      <c r="I37" s="168"/>
      <c r="J37" s="168"/>
      <c r="K37" s="168"/>
      <c r="L37" s="168"/>
    </row>
    <row r="38" spans="1:12" ht="22.5">
      <c r="A38" s="161"/>
      <c r="B38" s="163" t="s">
        <v>955</v>
      </c>
      <c r="C38" s="194" t="s">
        <v>985</v>
      </c>
      <c r="D38" s="195" t="s">
        <v>986</v>
      </c>
      <c r="E38" s="163" t="s">
        <v>980</v>
      </c>
      <c r="F38" s="164">
        <v>1</v>
      </c>
      <c r="G38" s="196">
        <v>1918.71</v>
      </c>
      <c r="H38" s="193">
        <f>G38*F38</f>
        <v>1918.71</v>
      </c>
      <c r="I38" s="168"/>
      <c r="J38" s="168"/>
      <c r="K38" s="168"/>
      <c r="L38" s="168"/>
    </row>
    <row r="39" spans="1:12" ht="12.75">
      <c r="A39" s="197" t="s">
        <v>961</v>
      </c>
      <c r="B39" s="198"/>
      <c r="C39" s="199"/>
      <c r="D39" s="215"/>
      <c r="E39" s="216"/>
      <c r="F39" s="216"/>
      <c r="G39" s="217"/>
      <c r="H39" s="222"/>
      <c r="I39" s="168"/>
      <c r="J39" s="168"/>
      <c r="K39" s="168"/>
      <c r="L39" s="168"/>
    </row>
    <row r="40" spans="1:7" s="168" customFormat="1" ht="12.75">
      <c r="A40" s="165"/>
      <c r="B40" s="219"/>
      <c r="C40" s="220"/>
      <c r="D40" s="221"/>
      <c r="E40" s="221"/>
      <c r="F40" s="221"/>
      <c r="G40" s="221"/>
    </row>
    <row r="42" spans="4:6" ht="12.75">
      <c r="D42" s="27"/>
      <c r="E42" s="27"/>
      <c r="F42" s="4"/>
    </row>
    <row r="43" spans="4:6" ht="12.75">
      <c r="D43" s="38"/>
      <c r="E43" s="39"/>
      <c r="F43" s="4"/>
    </row>
    <row r="44" spans="4:6" ht="15">
      <c r="D44" s="347"/>
      <c r="E44" s="347"/>
      <c r="F44" s="4"/>
    </row>
    <row r="45" spans="4:6" ht="12.75">
      <c r="D45" s="346"/>
      <c r="E45" s="346"/>
      <c r="F45" s="4"/>
    </row>
    <row r="46" spans="4:6" ht="12.75">
      <c r="D46" s="346"/>
      <c r="E46" s="346"/>
      <c r="F46" s="4"/>
    </row>
    <row r="47" spans="4:6" ht="12.75">
      <c r="D47" s="4"/>
      <c r="E47" s="4"/>
      <c r="F47" s="4"/>
    </row>
    <row r="48" spans="4:6" ht="12.75">
      <c r="D48" s="4"/>
      <c r="E48" s="4"/>
      <c r="F48" s="4"/>
    </row>
    <row r="49" spans="4:6" ht="12.75">
      <c r="D49" s="4"/>
      <c r="E49" s="4"/>
      <c r="F49" s="4"/>
    </row>
    <row r="50" spans="4:6" ht="12.75">
      <c r="D50" s="4"/>
      <c r="E50" s="4"/>
      <c r="F50" s="4"/>
    </row>
    <row r="51" spans="4:6" ht="12.75">
      <c r="D51" s="4"/>
      <c r="E51" s="4"/>
      <c r="F51" s="4"/>
    </row>
  </sheetData>
  <sheetProtection/>
  <mergeCells count="5">
    <mergeCell ref="D46:E46"/>
    <mergeCell ref="B1:H1"/>
    <mergeCell ref="A2:H2"/>
    <mergeCell ref="D44:E44"/>
    <mergeCell ref="D45:E45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4" r:id="rId1"/>
  <headerFooter alignWithMargins="0">
    <oddFooter>&amp;C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 - PROJETOS E CONSTRUÇÕES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MARLON BATISTA DA COSTA</dc:creator>
  <cp:keywords/>
  <dc:description/>
  <cp:lastModifiedBy>PATRICIAAP</cp:lastModifiedBy>
  <cp:lastPrinted>2019-04-05T10:52:10Z</cp:lastPrinted>
  <dcterms:created xsi:type="dcterms:W3CDTF">1999-12-01T12:09:36Z</dcterms:created>
  <dcterms:modified xsi:type="dcterms:W3CDTF">2019-04-15T18:38:10Z</dcterms:modified>
  <cp:category/>
  <cp:version/>
  <cp:contentType/>
  <cp:contentStatus/>
</cp:coreProperties>
</file>